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25"/>
  <workbookPr codeName="ThisWorkbook"/>
  <mc:AlternateContent xmlns:mc="http://schemas.openxmlformats.org/markup-compatibility/2006">
    <mc:Choice Requires="x15">
      <x15ac:absPath xmlns:x15ac="http://schemas.microsoft.com/office/spreadsheetml/2010/11/ac" url="/Users/mejoraregulatoria/Desktop/"/>
    </mc:Choice>
  </mc:AlternateContent>
  <xr:revisionPtr revIDLastSave="0" documentId="13_ncr:1_{6F876B4D-A623-F840-925A-8350F730B7AB}" xr6:coauthVersionLast="47" xr6:coauthVersionMax="47" xr10:uidLastSave="{00000000-0000-0000-0000-000000000000}"/>
  <bookViews>
    <workbookView xWindow="0" yWindow="740" windowWidth="29400" windowHeight="16960" activeTab="16" xr2:uid="{00000000-000D-0000-FFFF-FFFF00000000}"/>
  </bookViews>
  <sheets>
    <sheet name="PRESIDENCIA 26" sheetId="21" r:id="rId1"/>
    <sheet name="BD SINDICATURA" sheetId="3" state="hidden" r:id="rId2"/>
    <sheet name="BDPRE1" sheetId="4" state="hidden" r:id="rId3"/>
    <sheet name="SINDICATURA 26" sheetId="22" r:id="rId4"/>
    <sheet name="BD SECRETARIA1" sheetId="6" state="hidden" r:id="rId5"/>
    <sheet name="Hoja 2" sheetId="7" state="hidden" r:id="rId6"/>
    <sheet name="MIR TESORERIA" sheetId="8" state="hidden" r:id="rId7"/>
    <sheet name="MIR CATASTRO" sheetId="9" state="hidden" r:id="rId8"/>
    <sheet name="MIR SERVICIOS GENERALES" sheetId="11" state="hidden" r:id="rId9"/>
    <sheet name="MIR CONSTRUCCION DE LA COMUNIDA" sheetId="12" state="hidden" r:id="rId10"/>
    <sheet name="MIR SECRETARIA GENERAL 26" sheetId="23" r:id="rId11"/>
    <sheet name="PROTECCION CIVIL 26" sheetId="25" r:id="rId12"/>
    <sheet name="PROGRAMAS SOCIALES 26" sheetId="20" r:id="rId13"/>
    <sheet name="MIR GABINETE 26" sheetId="26" r:id="rId14"/>
    <sheet name="MIR UNIDAD MULTIFUNCIONAL " sheetId="15" state="hidden" r:id="rId15"/>
    <sheet name="MIR DESARROLLO ECONOMICO 26" sheetId="28" r:id="rId16"/>
    <sheet name="MIR ORGANO INTERNO DE CONTR 26" sheetId="27" r:id="rId17"/>
    <sheet name="Hoja2" sheetId="18" state="hidden" r:id="rId18"/>
    <sheet name="GASTO CORRIENTE" sheetId="19" state="hidden" r:id="rId19"/>
  </sheets>
  <definedNames>
    <definedName name="_xlnm.Print_Area" localSheetId="12">'PROGRAMAS SOCIALES 26'!$A$1:$J$39</definedName>
    <definedName name="_xlnm.Print_Area" localSheetId="11">'PROTECCION CIVIL 26'!$A$1:$J$33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11" i="28" l="1"/>
  <c r="O22" i="27"/>
  <c r="N6" i="27"/>
  <c r="N5" i="27"/>
  <c r="Z43" i="20" l="1"/>
  <c r="N284" i="19"/>
  <c r="M284" i="19"/>
  <c r="L284" i="19"/>
  <c r="K284" i="19"/>
  <c r="J284" i="19"/>
  <c r="I284" i="19"/>
  <c r="H284" i="19"/>
  <c r="G284" i="19"/>
  <c r="F284" i="19"/>
  <c r="E284" i="19"/>
  <c r="D284" i="19"/>
  <c r="C284" i="19"/>
  <c r="C286" i="19" s="1"/>
  <c r="Q26" i="19" s="1"/>
  <c r="N271" i="19"/>
  <c r="M271" i="19"/>
  <c r="L271" i="19"/>
  <c r="K271" i="19"/>
  <c r="J271" i="19"/>
  <c r="I271" i="19"/>
  <c r="H271" i="19"/>
  <c r="G271" i="19"/>
  <c r="F271" i="19"/>
  <c r="E271" i="19"/>
  <c r="D271" i="19"/>
  <c r="C271" i="19"/>
  <c r="C273" i="19" s="1"/>
  <c r="Q25" i="19" s="1"/>
  <c r="N258" i="19"/>
  <c r="M258" i="19"/>
  <c r="L258" i="19"/>
  <c r="K258" i="19"/>
  <c r="J258" i="19"/>
  <c r="I258" i="19"/>
  <c r="H258" i="19"/>
  <c r="C260" i="19" s="1"/>
  <c r="Q24" i="19" s="1"/>
  <c r="G258" i="19"/>
  <c r="F258" i="19"/>
  <c r="E258" i="19"/>
  <c r="D258" i="19"/>
  <c r="C258" i="19"/>
  <c r="N245" i="19"/>
  <c r="M245" i="19"/>
  <c r="L245" i="19"/>
  <c r="K245" i="19"/>
  <c r="J245" i="19"/>
  <c r="I245" i="19"/>
  <c r="H245" i="19"/>
  <c r="G245" i="19"/>
  <c r="F245" i="19"/>
  <c r="E245" i="19"/>
  <c r="C247" i="19" s="1"/>
  <c r="Q23" i="19" s="1"/>
  <c r="D245" i="19"/>
  <c r="C245" i="19"/>
  <c r="N232" i="19"/>
  <c r="M232" i="19"/>
  <c r="L232" i="19"/>
  <c r="K232" i="19"/>
  <c r="J232" i="19"/>
  <c r="I232" i="19"/>
  <c r="C234" i="19" s="1"/>
  <c r="Q22" i="19" s="1"/>
  <c r="H232" i="19"/>
  <c r="G232" i="19"/>
  <c r="F232" i="19"/>
  <c r="E232" i="19"/>
  <c r="D232" i="19"/>
  <c r="C232" i="19"/>
  <c r="N219" i="19"/>
  <c r="M219" i="19"/>
  <c r="L219" i="19"/>
  <c r="K219" i="19"/>
  <c r="J219" i="19"/>
  <c r="I219" i="19"/>
  <c r="H219" i="19"/>
  <c r="G219" i="19"/>
  <c r="F219" i="19"/>
  <c r="C221" i="19" s="1"/>
  <c r="Q21" i="19" s="1"/>
  <c r="E219" i="19"/>
  <c r="D219" i="19"/>
  <c r="C219" i="19"/>
  <c r="N206" i="19"/>
  <c r="M206" i="19"/>
  <c r="L206" i="19"/>
  <c r="K206" i="19"/>
  <c r="J206" i="19"/>
  <c r="I206" i="19"/>
  <c r="H206" i="19"/>
  <c r="G206" i="19"/>
  <c r="F206" i="19"/>
  <c r="E206" i="19"/>
  <c r="D206" i="19"/>
  <c r="C206" i="19"/>
  <c r="C208" i="19" s="1"/>
  <c r="N193" i="19"/>
  <c r="M193" i="19"/>
  <c r="L193" i="19"/>
  <c r="K193" i="19"/>
  <c r="J193" i="19"/>
  <c r="I193" i="19"/>
  <c r="H193" i="19"/>
  <c r="G193" i="19"/>
  <c r="F193" i="19"/>
  <c r="E193" i="19"/>
  <c r="D193" i="19"/>
  <c r="C193" i="19"/>
  <c r="C195" i="19" s="1"/>
  <c r="Q20" i="19" s="1"/>
  <c r="N180" i="19"/>
  <c r="M180" i="19"/>
  <c r="L180" i="19"/>
  <c r="K180" i="19"/>
  <c r="J180" i="19"/>
  <c r="I180" i="19"/>
  <c r="H180" i="19"/>
  <c r="G180" i="19"/>
  <c r="F180" i="19"/>
  <c r="E180" i="19"/>
  <c r="D180" i="19"/>
  <c r="C180" i="19"/>
  <c r="C182" i="19" s="1"/>
  <c r="Q19" i="19" s="1"/>
  <c r="N165" i="19"/>
  <c r="M165" i="19"/>
  <c r="L165" i="19"/>
  <c r="K165" i="19"/>
  <c r="J165" i="19"/>
  <c r="I165" i="19"/>
  <c r="H165" i="19"/>
  <c r="G165" i="19"/>
  <c r="F165" i="19"/>
  <c r="E165" i="19"/>
  <c r="D165" i="19"/>
  <c r="C165" i="19"/>
  <c r="C167" i="19" s="1"/>
  <c r="Q14" i="19" s="1"/>
  <c r="N152" i="19"/>
  <c r="M152" i="19"/>
  <c r="L152" i="19"/>
  <c r="K152" i="19"/>
  <c r="J152" i="19"/>
  <c r="I152" i="19"/>
  <c r="H152" i="19"/>
  <c r="G152" i="19"/>
  <c r="F152" i="19"/>
  <c r="E152" i="19"/>
  <c r="D152" i="19"/>
  <c r="C152" i="19"/>
  <c r="C154" i="19" s="1"/>
  <c r="Q13" i="19" s="1"/>
  <c r="N139" i="19"/>
  <c r="M139" i="19"/>
  <c r="L139" i="19"/>
  <c r="K139" i="19"/>
  <c r="J139" i="19"/>
  <c r="I139" i="19"/>
  <c r="H139" i="19"/>
  <c r="G139" i="19"/>
  <c r="F139" i="19"/>
  <c r="E139" i="19"/>
  <c r="D139" i="19"/>
  <c r="C139" i="19"/>
  <c r="C141" i="19" s="1"/>
  <c r="Q12" i="19" s="1"/>
  <c r="N126" i="19"/>
  <c r="M126" i="19"/>
  <c r="L126" i="19"/>
  <c r="K126" i="19"/>
  <c r="J126" i="19"/>
  <c r="I126" i="19"/>
  <c r="H126" i="19"/>
  <c r="G126" i="19"/>
  <c r="F126" i="19"/>
  <c r="E126" i="19"/>
  <c r="D126" i="19"/>
  <c r="C128" i="19" s="1"/>
  <c r="Q11" i="19" s="1"/>
  <c r="C126" i="19"/>
  <c r="N113" i="19"/>
  <c r="M113" i="19"/>
  <c r="L113" i="19"/>
  <c r="K113" i="19"/>
  <c r="J113" i="19"/>
  <c r="I113" i="19"/>
  <c r="H113" i="19"/>
  <c r="G113" i="19"/>
  <c r="F113" i="19"/>
  <c r="E113" i="19"/>
  <c r="D113" i="19"/>
  <c r="C113" i="19"/>
  <c r="C115" i="19" s="1"/>
  <c r="Q10" i="19" s="1"/>
  <c r="N100" i="19"/>
  <c r="M100" i="19"/>
  <c r="L100" i="19"/>
  <c r="K100" i="19"/>
  <c r="J100" i="19"/>
  <c r="I100" i="19"/>
  <c r="H100" i="19"/>
  <c r="G100" i="19"/>
  <c r="F100" i="19"/>
  <c r="E100" i="19"/>
  <c r="D100" i="19"/>
  <c r="C100" i="19"/>
  <c r="C102" i="19" s="1"/>
  <c r="Q9" i="19" s="1"/>
  <c r="N85" i="19"/>
  <c r="M85" i="19"/>
  <c r="L85" i="19"/>
  <c r="K85" i="19"/>
  <c r="J85" i="19"/>
  <c r="I85" i="19"/>
  <c r="H85" i="19"/>
  <c r="G85" i="19"/>
  <c r="F85" i="19"/>
  <c r="E85" i="19"/>
  <c r="D85" i="19"/>
  <c r="C85" i="19"/>
  <c r="C87" i="19" s="1"/>
  <c r="Q8" i="19" s="1"/>
  <c r="N72" i="19"/>
  <c r="M72" i="19"/>
  <c r="L72" i="19"/>
  <c r="K72" i="19"/>
  <c r="J72" i="19"/>
  <c r="I72" i="19"/>
  <c r="H72" i="19"/>
  <c r="G72" i="19"/>
  <c r="F72" i="19"/>
  <c r="E72" i="19"/>
  <c r="D72" i="19"/>
  <c r="C72" i="19"/>
  <c r="C74" i="19" s="1"/>
  <c r="Q7" i="19" s="1"/>
  <c r="N55" i="19"/>
  <c r="M55" i="19"/>
  <c r="L55" i="19"/>
  <c r="K55" i="19"/>
  <c r="J55" i="19"/>
  <c r="I55" i="19"/>
  <c r="H55" i="19"/>
  <c r="G55" i="19"/>
  <c r="F55" i="19"/>
  <c r="E55" i="19"/>
  <c r="D55" i="19"/>
  <c r="C55" i="19"/>
  <c r="C57" i="19" s="1"/>
  <c r="Q6" i="19" s="1"/>
  <c r="N42" i="19"/>
  <c r="M42" i="19"/>
  <c r="L42" i="19"/>
  <c r="K42" i="19"/>
  <c r="J42" i="19"/>
  <c r="I42" i="19"/>
  <c r="H42" i="19"/>
  <c r="G42" i="19"/>
  <c r="F42" i="19"/>
  <c r="E42" i="19"/>
  <c r="C44" i="19" s="1"/>
  <c r="Q5" i="19" s="1"/>
  <c r="D42" i="19"/>
  <c r="C42" i="19"/>
  <c r="N30" i="19"/>
  <c r="M30" i="19"/>
  <c r="L30" i="19"/>
  <c r="K30" i="19"/>
  <c r="J30" i="19"/>
  <c r="I30" i="19"/>
  <c r="H30" i="19"/>
  <c r="G30" i="19"/>
  <c r="F30" i="19"/>
  <c r="E30" i="19"/>
  <c r="D30" i="19"/>
  <c r="C30" i="19"/>
  <c r="P26" i="19"/>
  <c r="O26" i="19"/>
  <c r="P25" i="19"/>
  <c r="O25" i="19"/>
  <c r="P24" i="19"/>
  <c r="O24" i="19"/>
  <c r="P23" i="19"/>
  <c r="O23" i="19"/>
  <c r="P22" i="19"/>
  <c r="O22" i="19"/>
  <c r="P21" i="19"/>
  <c r="O21" i="19"/>
  <c r="P20" i="19"/>
  <c r="O20" i="19"/>
  <c r="P19" i="19"/>
  <c r="O19" i="19"/>
  <c r="N13" i="19"/>
  <c r="M13" i="19"/>
  <c r="L13" i="19"/>
  <c r="K13" i="19"/>
  <c r="J13" i="19"/>
  <c r="I13" i="19"/>
  <c r="H13" i="19"/>
  <c r="G13" i="19"/>
  <c r="F13" i="19"/>
  <c r="E13" i="19"/>
  <c r="D13" i="19"/>
  <c r="C13" i="19"/>
  <c r="C15" i="19" s="1"/>
  <c r="Q3" i="19" s="1"/>
  <c r="Q4" i="19"/>
  <c r="F12" i="15"/>
  <c r="F12" i="9"/>
  <c r="F12" i="8"/>
  <c r="A4" i="7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A11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B9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8" i="6"/>
  <c r="C8" i="6"/>
  <c r="B8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C7" i="6"/>
  <c r="B7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6" i="6"/>
  <c r="C6" i="6"/>
  <c r="B6" i="6"/>
  <c r="A6" i="6"/>
  <c r="T5" i="6"/>
  <c r="S5" i="6"/>
  <c r="R5" i="6"/>
  <c r="Q5" i="6"/>
  <c r="P5" i="6"/>
  <c r="O5" i="6"/>
  <c r="N5" i="6"/>
  <c r="M5" i="6"/>
  <c r="L5" i="6"/>
  <c r="K5" i="6"/>
  <c r="J5" i="6"/>
  <c r="I5" i="6"/>
  <c r="H5" i="6"/>
  <c r="G5" i="6"/>
  <c r="F5" i="6"/>
  <c r="E5" i="6"/>
  <c r="D5" i="6"/>
  <c r="C5" i="6"/>
  <c r="B5" i="6"/>
  <c r="T4" i="6"/>
  <c r="S4" i="6"/>
  <c r="R4" i="6"/>
  <c r="Q4" i="6"/>
  <c r="P4" i="6"/>
  <c r="O4" i="6"/>
  <c r="N4" i="6"/>
  <c r="M4" i="6"/>
  <c r="L4" i="6"/>
  <c r="K4" i="6"/>
  <c r="J4" i="6"/>
  <c r="I4" i="6"/>
  <c r="H4" i="6"/>
  <c r="G4" i="6"/>
  <c r="F4" i="6"/>
  <c r="E4" i="6"/>
  <c r="D4" i="6"/>
  <c r="C4" i="6"/>
  <c r="B4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3" i="6"/>
  <c r="B3" i="6"/>
  <c r="A3" i="6"/>
  <c r="T2" i="6"/>
  <c r="S2" i="6"/>
  <c r="R2" i="6"/>
  <c r="Q2" i="6"/>
  <c r="P2" i="6"/>
  <c r="O2" i="6"/>
  <c r="N2" i="6"/>
  <c r="M2" i="6"/>
  <c r="L2" i="6"/>
  <c r="K2" i="6"/>
  <c r="J2" i="6"/>
  <c r="I2" i="6"/>
  <c r="H2" i="6"/>
  <c r="G2" i="6"/>
  <c r="F2" i="6"/>
  <c r="E2" i="6"/>
  <c r="D2" i="6"/>
  <c r="C2" i="6"/>
  <c r="B2" i="6"/>
  <c r="A2" i="6"/>
  <c r="H1" i="6"/>
  <c r="F1" i="6"/>
  <c r="E1" i="6"/>
  <c r="B1" i="6"/>
  <c r="A1" i="6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13" i="4"/>
  <c r="C13" i="4"/>
  <c r="B13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12" i="4"/>
  <c r="C12" i="4"/>
  <c r="B12" i="4"/>
  <c r="A12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11" i="4"/>
  <c r="C11" i="4"/>
  <c r="B11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10" i="4"/>
  <c r="C10" i="4"/>
  <c r="B10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9" i="4"/>
  <c r="C9" i="4"/>
  <c r="B9" i="4"/>
  <c r="A9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8" i="4"/>
  <c r="C8" i="4"/>
  <c r="B8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7" i="4"/>
  <c r="C7" i="4"/>
  <c r="B7" i="4"/>
  <c r="A7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6" i="4"/>
  <c r="C6" i="4"/>
  <c r="B6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D5" i="4"/>
  <c r="C5" i="4"/>
  <c r="B5" i="4"/>
  <c r="A5" i="4"/>
  <c r="T4" i="4"/>
  <c r="S4" i="4"/>
  <c r="R4" i="4"/>
  <c r="Q4" i="4"/>
  <c r="P4" i="4"/>
  <c r="O4" i="4"/>
  <c r="N4" i="4"/>
  <c r="M4" i="4"/>
  <c r="L4" i="4"/>
  <c r="K4" i="4"/>
  <c r="J4" i="4"/>
  <c r="I4" i="4"/>
  <c r="H4" i="4"/>
  <c r="G4" i="4"/>
  <c r="F4" i="4"/>
  <c r="E4" i="4"/>
  <c r="D4" i="4"/>
  <c r="C4" i="4"/>
  <c r="B4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3" i="4"/>
  <c r="B3" i="4"/>
  <c r="A3" i="4"/>
  <c r="T2" i="4"/>
  <c r="S2" i="4"/>
  <c r="R2" i="4"/>
  <c r="Q2" i="4"/>
  <c r="P2" i="4"/>
  <c r="O2" i="4"/>
  <c r="N2" i="4"/>
  <c r="M2" i="4"/>
  <c r="L2" i="4"/>
  <c r="K2" i="4"/>
  <c r="J2" i="4"/>
  <c r="I2" i="4"/>
  <c r="H2" i="4"/>
  <c r="G2" i="4"/>
  <c r="F2" i="4"/>
  <c r="E2" i="4"/>
  <c r="D2" i="4"/>
  <c r="C2" i="4"/>
  <c r="B2" i="4"/>
  <c r="A2" i="4"/>
  <c r="H1" i="4"/>
  <c r="F1" i="4"/>
  <c r="E1" i="4"/>
  <c r="B1" i="4"/>
  <c r="A1" i="4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B10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B9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B8" i="3"/>
  <c r="A8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B7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B6" i="3"/>
  <c r="A6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B5" i="3"/>
  <c r="A5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B4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B3" i="3"/>
  <c r="A3" i="3"/>
  <c r="T2" i="3"/>
  <c r="S2" i="3"/>
  <c r="R2" i="3"/>
  <c r="Q2" i="3"/>
  <c r="P2" i="3"/>
  <c r="O2" i="3"/>
  <c r="N2" i="3"/>
  <c r="M2" i="3"/>
  <c r="L2" i="3"/>
  <c r="K2" i="3"/>
  <c r="J2" i="3"/>
  <c r="I2" i="3"/>
  <c r="H2" i="3"/>
  <c r="G2" i="3"/>
  <c r="F2" i="3"/>
  <c r="E2" i="3"/>
  <c r="D2" i="3"/>
  <c r="C2" i="3"/>
  <c r="B2" i="3"/>
  <c r="A2" i="3"/>
  <c r="H1" i="3"/>
  <c r="F1" i="3"/>
  <c r="E1" i="3"/>
  <c r="B1" i="3"/>
  <c r="A1" i="3"/>
  <c r="Q15" i="19" l="1"/>
  <c r="Q31" i="19"/>
  <c r="Q16" i="19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<sst xmlns="http://schemas.openxmlformats.org/spreadsheetml/2006/main" count="2315" uniqueCount="996">
  <si>
    <t>MATRIZ DE MARCO LOGICO</t>
  </si>
  <si>
    <t>CODIGO</t>
  </si>
  <si>
    <t>F-GAB-03-01</t>
  </si>
  <si>
    <t>VERSIÓN</t>
  </si>
  <si>
    <t>PARTIDA PRESUPUESTAL</t>
  </si>
  <si>
    <t>01</t>
  </si>
  <si>
    <t>DEPENDENCIA</t>
  </si>
  <si>
    <t>PRESIDENCIA</t>
  </si>
  <si>
    <t>PERÍODO</t>
  </si>
  <si>
    <t>TECHO FINANCIERO PROPUESTO (PUEDE VARIAR)</t>
  </si>
  <si>
    <t xml:space="preserve">GASTO ACTUAL </t>
  </si>
  <si>
    <t>NOMBRE DE LA MIR</t>
  </si>
  <si>
    <t>GOBIERNO DE LAS PUERTAS ABIERTAS</t>
  </si>
  <si>
    <t>PLAN ESTATAL DE DESARROLLO</t>
  </si>
  <si>
    <t>JALISCO CERCANO Y TRANSPARENTE</t>
  </si>
  <si>
    <t>PLAN MUNICIPAL  DE DESARROLLO</t>
  </si>
  <si>
    <t>EJE T.2 . GOBIERNO TRANSPARENTE Y EFICIENTE CON PARTICIPACIÓN COMUNITARIA</t>
  </si>
  <si>
    <t>LINEAS DE ACCIÓN</t>
  </si>
  <si>
    <t>OBJETIVOS DE DESARROLLO  SOSTENIBLE (ONU HABITAD)</t>
  </si>
  <si>
    <t>OBJETIVO 16. PAZ JUSTICIA E INSTITUCIONES SOLIDAS</t>
  </si>
  <si>
    <t>PLAN NACIONAL DE DESARROLLO</t>
  </si>
  <si>
    <t>REPÚBLICA DEMOCRÁTICA, JUSTA, HONESTA,LIBRE, PARTICIPATIVA Y RESPONSABLE</t>
  </si>
  <si>
    <t>PARTES INTERESADAS INTERNAS</t>
  </si>
  <si>
    <t>PARTES INTERESADAS EXTERNAS</t>
  </si>
  <si>
    <t>GOBIERNO ESTATAL Y FEDERAL, ONU, HABITANTES DE ZAPOTLANEJO,OPDS,EMPRESAS</t>
  </si>
  <si>
    <t>NIVEL</t>
  </si>
  <si>
    <t>RESUMEN NARRATIVO</t>
  </si>
  <si>
    <t>INDICADOR</t>
  </si>
  <si>
    <t>META</t>
  </si>
  <si>
    <t>UNIDAD DE MEDIDA DE LA META</t>
  </si>
  <si>
    <t>MEDIDA DE VERIFICACION</t>
  </si>
  <si>
    <t>SUPUESTOS</t>
  </si>
  <si>
    <t>NOMBRE DEL INDICADOR</t>
  </si>
  <si>
    <t>FUENTES DE INFORMACIÓN</t>
  </si>
  <si>
    <t>FRECUENCIA</t>
  </si>
  <si>
    <t xml:space="preserve"> FIN</t>
  </si>
  <si>
    <t xml:space="preserve">CONSOLIDAR UN GOBIERNO ABIERTO QUE RINDA CUENTAS A LA  CIUDADANIA </t>
  </si>
  <si>
    <t xml:space="preserve">CALIFICACION OTORGADA POR CIMTRA EN EL ULTIMO AÑO </t>
  </si>
  <si>
    <t>CIMTRA ( CIUDADANOS POR MUNICIPIOS TRANSPARENTES)</t>
  </si>
  <si>
    <t>ANUAL</t>
  </si>
  <si>
    <t xml:space="preserve">CALIFICACION AÑO ANTERIOR </t>
  </si>
  <si>
    <t>ULTIMA CALIFICACION CIMTRA</t>
  </si>
  <si>
    <t>PAGINA OFICIAL DE CIUDADANOS POR GOBIERNOS TRANSPARENTES</t>
  </si>
  <si>
    <t>MALA FUNDAMENTACION PARA SUPUESTOS EVALUADOS/ INCERTIDUMBRE ACTUAL CON ESTE TIPO DE INSTITUCIONES A NIVEL FEDERAL</t>
  </si>
  <si>
    <t>AVANCE ACTUAL</t>
  </si>
  <si>
    <t>CALIFICACION ACTUAL</t>
  </si>
  <si>
    <t xml:space="preserve"> PROPOSITO</t>
  </si>
  <si>
    <t>CREAR UN GOBIERNO EFICIENTE Y TRANSPARENTE DE PUERAS ABIERTAS</t>
  </si>
  <si>
    <t>PROPORCION DE LA POBLACION QUE SE SIENTE SATISFECHA CON EL SERVICIO BRINDADO POR EL GOBIERNO LOCAL</t>
  </si>
  <si>
    <t>ENCUESTAS DE SATISFACCION DEL CIUDADANO</t>
  </si>
  <si>
    <t>% DE SATISFACCIÓN</t>
  </si>
  <si>
    <t>GRADO DE SATISFACCION EN ENCUESTAS REALIZADAS</t>
  </si>
  <si>
    <t>BASE DE DATOS CREADA PARA LLEVAR EL CONTEO DE ESTE PARAMETRO</t>
  </si>
  <si>
    <t>MAL PLANTEAMIENTO DE LA ENCUESTA, ASI COMO LA DIFUSION DE LA MISMA ( SE HARA DURANTE EL ULTIMO MES DEL AÑO ADMINISTRATIVO</t>
  </si>
  <si>
    <t>% DE CIUDADANOS SATISFECHOS A LA FECHA</t>
  </si>
  <si>
    <t xml:space="preserve"> RESULTADOS</t>
  </si>
  <si>
    <t>POGRAMA GOBIERNO ABIERTO Y EFICIENTE</t>
  </si>
  <si>
    <t>CUMPLIMIENTO DE LAS METAS PLANTEADAS POR EL PROGRAMA DE GOBIERNO ABIERTO Y EFICIENTE</t>
  </si>
  <si>
    <t xml:space="preserve">SMRG (SISTEMA MUNICIPAL GESTION DE RESULTADOS) </t>
  </si>
  <si>
    <t xml:space="preserve">% DE AVANCE DEL PROGRAMA </t>
  </si>
  <si>
    <t>AVANCE DE LAS METAS ESPECIFICAS DEL POAS DE PRESIDENCIA</t>
  </si>
  <si>
    <t>EL CUMPLIMIENTO ESTABLECIDO EN EL SISTEMA MUNICIPAL DE INFORMACIÓN ESTRATEGICA</t>
  </si>
  <si>
    <t xml:space="preserve">MALAS GESTIONES PARA LA RESOLUCION DE PROBLEMAS </t>
  </si>
  <si>
    <t>% ACTUAL DE CUMPLIMIENTO DEL PROGRAMA</t>
  </si>
  <si>
    <t>PROGRAMA DE ALTO IMPACTO INSTITUCIONAL</t>
  </si>
  <si>
    <t>CUMPLIMIENTO DE LAS METAS PLANTEADAS POR EL PROGRAMA DE ALTO IMPACTO INSTITUCIONAL</t>
  </si>
  <si>
    <t>AVANCE DE LAS METAS ESPECIFICAS DEL POAS DEL DEPARTAMENTO DE ASUNTOS DEL INTERIOR</t>
  </si>
  <si>
    <t>PETICIONES DE LA CIUDADANIA POCO PROBABLES DE RESOLVER A CORTO PLAZO</t>
  </si>
  <si>
    <t>PROGRAMA ESTRATEGICO DE DIFUSIÓN INSTITUCIONAL</t>
  </si>
  <si>
    <t>CUMPLIMIENTO DE LAS METAS PLANTEADAS POR EL PROGRAMA GOBIERNO DE PUERTAS ABIERTAS</t>
  </si>
  <si>
    <t>AVANCE DE LAS METAS ESPECIFICAS DEL POAS DEL DEPARTAMENTO DE COMUNICACION</t>
  </si>
  <si>
    <t>EFICIENCIA DEL PROGRAMA ESTRATEGICO DE DIFUCION INSTITUCIONAL</t>
  </si>
  <si>
    <t>NOTAS POCO RELEVANTES O CON CONTENIDOS MAL DESARROLLADOS</t>
  </si>
  <si>
    <t>PROGRAMA TRANSPARENCIA Y RENDICION DE CUENTAS</t>
  </si>
  <si>
    <t>CUMPLIMIENTO DE LAS METAS PLANTEADAS POR EL PROGRAMA DE TRANSPARENCIA Y RENDICION DE CUENTAS</t>
  </si>
  <si>
    <t>EFICIENCIA DEL PROGRAMA DE TRANSPARENCIA Y RENDICION DE CUENTAS</t>
  </si>
  <si>
    <t>% DE AVANCE DEL PROGRAMA DE TRANSPARENCIA Y RENDICION DE CUENTAS</t>
  </si>
  <si>
    <t>AVANCE DE LAS METAS ESPECIFICAS DEL POAS DE LA UNIDAD DE TRANSPARENCIA</t>
  </si>
  <si>
    <t>ÁREAS INVOLUCRADAS CON POCA PRESENCIA EN EL DESARROLLO INSTITUCIONAL</t>
  </si>
  <si>
    <t xml:space="preserve"> ACCIONES</t>
  </si>
  <si>
    <t>CIUDADANOS ATENDIDOS POR LA PRESIDENTA EN EL PRESENTE PERIODO</t>
  </si>
  <si>
    <t xml:space="preserve">TOTAL DE CIUDADANOS ATENDIDOS </t>
  </si>
  <si>
    <t>META DE CIUDADANOS ATENDIDOS POR LA PRESIDENTA</t>
  </si>
  <si>
    <t xml:space="preserve">CIUDADANOS ATENDIDOS </t>
  </si>
  <si>
    <t>META ESTABLECIDA POR EL SMRG</t>
  </si>
  <si>
    <t>TIEMPOS CORTOS PARA ATENDER A LA CIUDADANIA POR MOTIVOS DE AGENDA DE TRABAJO.</t>
  </si>
  <si>
    <t>CIUDADANOS ATENDIDOS AL CORTE</t>
  </si>
  <si>
    <t>CIUDADANOS ATENDIDIOS POR EL DEPARTAMENTO DE ASUNTOS DEL INTERIOR</t>
  </si>
  <si>
    <t>TOTAL DE CIUDADANOS ATENDIDOS POR EL DEPARTAMENTO DE ASUNTOS DEL INTERIOR</t>
  </si>
  <si>
    <t>META DE CIUDADANOS ATENDIDIOS POR EL DEPARTAMENTO DE ASUNTOS DEL INTERIOR</t>
  </si>
  <si>
    <t xml:space="preserve">CUMPLIMIENTO A LA META DE CIUDADANOS ATENTIDOS </t>
  </si>
  <si>
    <t xml:space="preserve">BAJA AFLUENCIA DE CIUDADANOS CON PETICIONES EN PRESIDENCIA </t>
  </si>
  <si>
    <t>NÚMERO DE PERSONAS ATENDIDAS ACTUALMENTE</t>
  </si>
  <si>
    <t>COBERTURAS DE EVENTOS</t>
  </si>
  <si>
    <t>NOTAS DIFUNDIDAS EN LOS DIFERENTES MEDIOS DE COMUNICACIÓN</t>
  </si>
  <si>
    <t>META DE NOTAS A DIFUNDIR EN EL PERIODO ACTUAL</t>
  </si>
  <si>
    <t xml:space="preserve">NOTAS DE INFORMACIÓN MUNICIPAL DIFUNDIDAS EN LOS DISTITNOS MEDIOS </t>
  </si>
  <si>
    <t>CUMPLIMIENTO A LA META ANUAL</t>
  </si>
  <si>
    <t xml:space="preserve">FALTA DE SEGUIMIENO A EVENTOS MUNICIPALES DE TRASCENDENCIA </t>
  </si>
  <si>
    <t>NOTAS DIFUNDIDAS AL CORTE</t>
  </si>
  <si>
    <t xml:space="preserve">SOLICITUDES DE INFORMACIÓN </t>
  </si>
  <si>
    <t>NÚMERO DE SOLICITUDES  RECIBIDAS / SOLICITUDES CONTESTADAS</t>
  </si>
  <si>
    <t>TOTAL ESPERADO DE SOLICITUDES DE TRANSPARENCIA</t>
  </si>
  <si>
    <t xml:space="preserve">SOLICITUDES ATENDIDAS </t>
  </si>
  <si>
    <t>CONTESTAR EL 100% DE LAS SOLICITUDES RECIBIDAS A LO LARGO DEL AÑO</t>
  </si>
  <si>
    <t xml:space="preserve">SOLICITUDES SIN FUNDAMENTO, CONFORME A LO QUE MARCAN LAS LEYES </t>
  </si>
  <si>
    <t>SOLICITUDES DE INFORMACION ATENDIDAS AL CORTE</t>
  </si>
  <si>
    <t>SINDICATURA</t>
  </si>
  <si>
    <t>CONSOLIDANDO ESTRATEGIAS DE PAZ Y JUSTICIA</t>
  </si>
  <si>
    <t>JALISCO CERCANO Y EN PAZ</t>
  </si>
  <si>
    <t>EJE 1 JUSTICIA, SEGURIDAD Y PAZ SOCIAL EJE T.2 . GOBIERNO TRANSPARENTE Y EFICIENTE CON PARTICIPACIÓN COMUNITARIA</t>
  </si>
  <si>
    <t xml:space="preserve">CONSOLIDAR UN ESTADO DE PAZ Y JUSTICIA </t>
  </si>
  <si>
    <t xml:space="preserve">CALIDAD DE VIDA </t>
  </si>
  <si>
    <t>INDICE DE CIUDADES PROSPERAS</t>
  </si>
  <si>
    <t>CREAR UN ENTORNO SEGURO, JUSTO Y EQUITATIVO PARA TODOS LOS CIUDADANOS, DONDE SE RESPETEN LOS DERECHOS HUMANOS, SE PROMUEVA LA CONVIVENCIA PACÍFICA Y SE RESUELVAN LOS CONFLICTOS DE MANERA DIALOGADA Y EFECTIVA.</t>
  </si>
  <si>
    <t>IIEG</t>
  </si>
  <si>
    <t xml:space="preserve">ANUAL </t>
  </si>
  <si>
    <t>CARPETAS DE INVESTIGACION ABIERTAS DURANTE EL ULTIMO AÑO</t>
  </si>
  <si>
    <t>DIAGNOSTICO DE ZAPOTLANEJO IIEG</t>
  </si>
  <si>
    <t>DELITOS NO DENUNCIADOS ANTE EL MP</t>
  </si>
  <si>
    <t>CONSOLIDAR UN PROGRAMA OPERATIVO QUE IMPARTA JUSTICIA CON ACCIONES CLARAS EN PRO DE LA SEGURIDAD PUBLICA</t>
  </si>
  <si>
    <t>EFICIENCIA DE LOS PROGRAMAS OPERATIVOS DE SINDICATURA</t>
  </si>
  <si>
    <t>AVANCE DE LAS METAS ESPECIFICAS DEL POAS DE SINDICATURA</t>
  </si>
  <si>
    <t>EL CUMPLIMIENTO ESTABLECIDO EN EL SMRG</t>
  </si>
  <si>
    <t xml:space="preserve">FALTA DE SEGUIMIENTO DE ACCIONES OPERATIVAS QUE FOMENTEN LA SEGURIDAD </t>
  </si>
  <si>
    <t>PROGRAMA DE CONCILIACION Y ASESORIA JURIDICA</t>
  </si>
  <si>
    <t>CUMPLIMIENTO DE LAS METAS PLANTEADAS POR EL PROGRAMA DE CONCILIACION Y ASESORIA JURIDICA</t>
  </si>
  <si>
    <t>% DE AVANCE DEL PROGRAMA DE CONCILIACION Y ASESORIAS JURIDICAS</t>
  </si>
  <si>
    <t>AVANCE DE LAS METAS ESPECIFICAS DEL POAS DE DIRECCION JURIDICA Y JUZGADO MUNICIPAL</t>
  </si>
  <si>
    <t>EFICIENCIA DEL PROGRAMA DE  CONCILIACION Y ASESORIA JURIDICA</t>
  </si>
  <si>
    <t>PROGRAMA INTEGRAL DE PREVENCION SOCIAL</t>
  </si>
  <si>
    <t>CUMPLIMIENTO DE LAS METAS PLANTEADAS POR EL PROGRAMA DE PREVENCION SOCIAL</t>
  </si>
  <si>
    <t>% DE AVANCE DEL PROGRAMA INTEGRAL DE PREVENCION SOCIAL</t>
  </si>
  <si>
    <t>AVANCE DE LAS METAS ESPECIFICAS DEL POAS DEL DEPARTAMENTO DE PREVENCION SOCIAL</t>
  </si>
  <si>
    <t>EFICIENCIA DEL PROGRAMA OPERATIVO</t>
  </si>
  <si>
    <t>FALTA DE ACCIONES ENFOCADAS A LA PREVENCION SOCIAL</t>
  </si>
  <si>
    <t>SECRETARIA GENERAL</t>
  </si>
  <si>
    <t>GOBIERNO DE LA GENTE</t>
  </si>
  <si>
    <t>JALISCO AVANZA Y JALISCO PARA TODAS Y TODOS</t>
  </si>
  <si>
    <t>CONSOLIDAR UN GOBIERNO EFICIENTE, QUE DE FE Y LEGALIDAD A LOS PROCESOS INTERNOS DE LA ADMINISTRACION PUBLICA</t>
  </si>
  <si>
    <t>EFICIENCIA DEL PROGRAMA SEGUIMIENTO DE ASUNTOS DE TRASCENDENCIA DE SECRETARIA GENERAL</t>
  </si>
  <si>
    <t>AVANCE DE LAS METAS ESPECIFICAS DEL POAS DE SECRETARIA GENERAL</t>
  </si>
  <si>
    <t>FALTA DE SEGUIMIENTO DE ACCIONES QUE PROMUEVAN LA LEGALIDAD DE LOS ACTOS QUE REALICE EL GOBIERNO MUNICIPAL</t>
  </si>
  <si>
    <t>REGISTRAR, VALIDAR Y DAR CERTEZA JURÍDICA DE LOS ACTOS Y HECHOS RELATIVOS AL ESTADO CIVIL DE LAS PERSONAS DENTRO DE SU JURISDICCIÓN.</t>
  </si>
  <si>
    <t>EFICIENCIA DEL PROGRAMA DE ACCESO EFICIENTE A DOCUMENTACIÓN CIVIL</t>
  </si>
  <si>
    <t>AVANCE DE LAS METAS ESPECIFICAS DEL POAS DE REGISTRO CIVIL</t>
  </si>
  <si>
    <t xml:space="preserve">TRAMITES ENGORROSOS </t>
  </si>
  <si>
    <t>ADMINISTRAR Y MANTENER LOS CEMENTERIOS PÚBLICOS, ASEGURANDO QUE SE CUMPLAN LAS NORMAS Y REGULACIONES APLICABLES EN MATERIA DE INHUMACIONES, EXHUMACIONES Y MANEJO DE RESTOS HUMANOS.</t>
  </si>
  <si>
    <t>EFICIENCIA DEL PLAN INTEGRAL DE CEMENTERIOS</t>
  </si>
  <si>
    <t>AVANCE DE LAS METAS ESPECIFICAS DEL POAS DE CEMENTERIOS</t>
  </si>
  <si>
    <t>FALTA DE SEGUIMIENTO DE ACCIONES OPERATIVAS</t>
  </si>
  <si>
    <t>CONSTANCIAS ESPECIFICAS PARA DAR CERTEZA A LA POBLACION EN GENERAL</t>
  </si>
  <si>
    <t>CONSTANCIAS EXPEDIDAS POR PARTE DE SECRETARIA GENERAL</t>
  </si>
  <si>
    <t>META ESTABLECIDA PARA ESTE RUBRO</t>
  </si>
  <si>
    <t>TOTAL DE CONSTANCIAS EXPEDIDAS POR SECRETARIA GENERAL</t>
  </si>
  <si>
    <t>SEGUIMIENTO DE ACCIONES QUE PROMUEVAN LA CERTEZA JURIDICA DE LA POBLACION</t>
  </si>
  <si>
    <t>TOTAL DE TRAMITES Y SERVICIOS REALIZADOS POR PARTE DE REGISTRO CIVIL</t>
  </si>
  <si>
    <t>META DE ACCIONES ESTABLECIDAS</t>
  </si>
  <si>
    <t>ACCIONES ADMINISTRATIVAS DE REGISTRO CIVIL</t>
  </si>
  <si>
    <t xml:space="preserve"> ADMINISTRACION DE LOS CEMENTERIOS MUNICIPALES PARA SU CORRECTA FUNSION</t>
  </si>
  <si>
    <t xml:space="preserve">ACCIONES DE MANTENIMIENTO A CEMENTERIOS </t>
  </si>
  <si>
    <t xml:space="preserve">META ESTABLECIDA </t>
  </si>
  <si>
    <t>ACCIONES PREVENTIVAS DE MANTENIMIENTO A CEMENTERIOS</t>
  </si>
  <si>
    <t>FALTA DE PRESUPUESTO ASIGNADO A ESTE RUBRO</t>
  </si>
  <si>
    <t>administrar y mantener los cementerios públicos, asegurando que se cumplan las normas y regulaciones aplicables en materia de inhumaciones, exhumaciones y manejo de restos humanos.</t>
  </si>
  <si>
    <t>Matriz de Indicadores de Resultados (MIR)</t>
  </si>
  <si>
    <t>codigó:</t>
  </si>
  <si>
    <t>F-GAB-</t>
  </si>
  <si>
    <t>versión:</t>
  </si>
  <si>
    <t>COORDINACION</t>
  </si>
  <si>
    <t xml:space="preserve">TESORERIA </t>
  </si>
  <si>
    <t xml:space="preserve">TECHO FINANCIERO PROPUESTO (PUEDE VARIAR)	</t>
  </si>
  <si>
    <t>GASTO ACTUAL</t>
  </si>
  <si>
    <t xml:space="preserve">PROGRAMA FINANZAS SANAS </t>
  </si>
  <si>
    <t>CODIGO INTERNO</t>
  </si>
  <si>
    <t>030113</t>
  </si>
  <si>
    <t>Eje general 1. Justicia y Estado de derecho,Eje transversal 2. Combate a la corrupción y mejora de la gestión pública</t>
  </si>
  <si>
    <t>EJE 5 GOBIERNO EFECTIVO E INTEGRIDAD PÚBLICA</t>
  </si>
  <si>
    <t>APLICABLE A TODO EL AYUNTAMIENTO</t>
  </si>
  <si>
    <t>HABITANTES DE ZAPOTLANEJO, GOBIERNO ESTATAL, GOBIERNO FEDERAL, OPDS</t>
  </si>
  <si>
    <t xml:space="preserve"> LOGRAR EL SANEAMIENTO DE LAS FINANZAS PÚBLICAS MUNICIPALES</t>
  </si>
  <si>
    <t>CAPACIDAD INSTITUCIONAL Y FINANZAS MUNICIPALES</t>
  </si>
  <si>
    <t xml:space="preserve">CAPACIDAD INSTITUCIONAL Y FINANZAS MUNICIPALES EN 2018
</t>
  </si>
  <si>
    <t>VARIABLE ENTRE:Recaudación de ingresos propios/Deuda subnacional*
Eficiencia del gasto local</t>
  </si>
  <si>
    <t xml:space="preserve">PRESUPUESTOS CAMBIANTES DEBIDO AL GOBIERNO FEDERAL Y LA PANDEMIA </t>
  </si>
  <si>
    <t xml:space="preserve">CAPACIDAD INSTITUCIONAL Y FINANZAS MUNICIPALES EN 2021
</t>
  </si>
  <si>
    <t>ORGANIZAR DE MANERA EFICIENTE LOS RECURSOS MATERIALES Y FINANCIEROS APLICÁNDOLOS DIRECTAMENTE A LA SATISFACCIÓN DE LAS NECESIDADES MUNICIPALES, MANTENIENDO LA ESTABILIDAD ADMINISTRATIVA  Y DANDO CUMPLIMIENTO A LAS DISPOSICIONES LEGALES APLICABLES, EN COORDINACIÓN CON SUS DIRECCIONES Y ÁREAS ADMINISTRATIVAS.</t>
  </si>
  <si>
    <t>EVALUACIÓN CEVAJ</t>
  </si>
  <si>
    <t>SEVAC</t>
  </si>
  <si>
    <t xml:space="preserve">EVALUACIÓN PRIMER PERIODO </t>
  </si>
  <si>
    <t xml:space="preserve">CUMPLIR LOS INDICADORES DE GESTION QUE MARCA SEVAC EN LOS DISTINTOS PERIODOS </t>
  </si>
  <si>
    <t>PLATAFORMA SEVAC</t>
  </si>
  <si>
    <t xml:space="preserve">FALTA DE CUMPLIMIENTO A INDICADORES DE GESTION </t>
  </si>
  <si>
    <t xml:space="preserve">ULTIMA EVALUACIÓN </t>
  </si>
  <si>
    <t>ADMINISTRAR RIESGOS Y FLUJO DE CAJA DENTRO DE LAS POLÍTICAS PARA SALVAGUARDAR EL MARGEN DEL AYUNTAMIENTO Y REDUCIR LA VOLATILIDAD INESPERADA EN SU FLUJO DE EFECTIVO.</t>
  </si>
  <si>
    <t xml:space="preserve">RECAUDACION DE INGRESOS PROPIOS </t>
  </si>
  <si>
    <t>% DE RECAUDACION COMPARADO CON ZMG  EN 2018</t>
  </si>
  <si>
    <t>% DE RECAUDACION COMPARADO CON ZMG  EN 2020</t>
  </si>
  <si>
    <t>DISEÑAR Y ESTABLECER PLANES, POLÍTICAS, NORMAS Y PROGRAMAS, EN MATERIA DE TECNOLOGÍAS DE LA INFORMACIÓN Y COMUNICACIONES RESPECTO AL DISEÑO, DESARROLLO, DISTRIBUCIÓN, IMPLANTACIÓN, SEGURIDAD, OPERACIÓN Y MANTENIMIENTO DE SISTEMAS INFORMÁTICOS Y DE TELECOMUNICACIONES</t>
  </si>
  <si>
    <t>EFICIENCIA DE SU PLAN DE MANTENIMIENTO PREVENTIVO</t>
  </si>
  <si>
    <t>BITACORA INTERNA</t>
  </si>
  <si>
    <t xml:space="preserve">MANTENIMIENTOS PREVENTIVOS ESTIPULADOS EN EL POA </t>
  </si>
  <si>
    <t>EFICIENCIA DE SU PROGRAMA PREVENTIVO</t>
  </si>
  <si>
    <t xml:space="preserve">FALTA DE PRESUPUESTO Y/ O PERSONAL  PARA REALIZAR MANTENIMIENTOS PREVENTIVOS </t>
  </si>
  <si>
    <t>MANTENIMIENTOS PREVENTIVOS REALIZADOS EN EL AÑO</t>
  </si>
  <si>
    <t xml:space="preserve">RECAUDACION DE INGRESOS DERIVADOS DE SERVICIOS Y SANCIONES QUE BRINDA EL AYUNTAMIENTO CONFORME A LOS REGLAMENTOS ADMINISTRATIVOS. </t>
  </si>
  <si>
    <t>RECAUDACION DE SERVICIOS BASICOS ASI COMO INFRACCIONES RECURRENTES.</t>
  </si>
  <si>
    <t>SIME</t>
  </si>
  <si>
    <t>RECAUDACION 2019</t>
  </si>
  <si>
    <t>EFICIENCIA DE SU PROGRAMA DE RECAUDACION 2020</t>
  </si>
  <si>
    <t>SISTEMA INTERNO</t>
  </si>
  <si>
    <t>AUMENTO DE MOROSOS Y/O CARTERA VENCIDA POR LA REALIDAD NACIONAL</t>
  </si>
  <si>
    <t>RECAUDACION 2020</t>
  </si>
  <si>
    <t>PROGRAMA PARA LA IMPLEMENTACION ESTRATEGICA DE ACCIONES PREVENTIVAS Y CORRECTIVAS REALIZADAS A LOS SISTEMAS NFORMATICOS DEL GOBIERNO MUNICIPAL.</t>
  </si>
  <si>
    <t>SEGUIMIENTO A LAS ESTRATEGIAS IMPLEMENTADAS PARA EL CORRECTO FUNCIONAMIENTO DE LOS EQUIPOS INFORMATICOS DEL AYUNTAMIENTO MUNICIPAL.</t>
  </si>
  <si>
    <t>ACCIONES DE MANTENIMIENTO ESTIPULADAS EN SU POA</t>
  </si>
  <si>
    <t>ACCIONES REALIZADAS A LO LARGO DEL 2020</t>
  </si>
  <si>
    <t>FALTA DE UN PLAN DE MANTENIMIENTO PREVENTIVO</t>
  </si>
  <si>
    <t>ACCIONES DE MANTENIMIENTO REALIZADAS EN EL 2020</t>
  </si>
  <si>
    <t>Matriz de Marco Lógico</t>
  </si>
  <si>
    <t>TESORERIA</t>
  </si>
  <si>
    <t>CATASTRO A LA VANGUARDIA</t>
  </si>
  <si>
    <t>30201</t>
  </si>
  <si>
    <t xml:space="preserve">EJE TRANSVERSAL 2. COMBATE A LA CORRUPCIÓN Y MEJORA DE LA GESTION PÚBLICA </t>
  </si>
  <si>
    <t>TESORERIA,COORDINACION DE GESTION DE LA CIUDAD</t>
  </si>
  <si>
    <t>HABITANTES DE ZAPOTLANEJO</t>
  </si>
  <si>
    <t>REGISTRO INTEGRO DE PROPIEDADES INMOBILIARIAS DE ZAPOTLANEJO</t>
  </si>
  <si>
    <t xml:space="preserve">DEPURACIÓN Y ACTUALIZACIÓN CONTÍNUA DEL SISTEMA DE GESTÍON CATASTRAL CON RESPECTO A LA ALIMENTACIÓN DE LA BASE DE DATOS </t>
  </si>
  <si>
    <t xml:space="preserve">SISTEMA </t>
  </si>
  <si>
    <t>% DE AVANCE ESPERADO</t>
  </si>
  <si>
    <t>CUENTAS CATASTRALES ACTUADALIZADAS SEGÚN LA BASE DE DATOS</t>
  </si>
  <si>
    <t xml:space="preserve">% DE ACTUALIZACION </t>
  </si>
  <si>
    <t>FALTA DE PERSONAL QUE REALICE ESTE TIPO DE ACCIONES</t>
  </si>
  <si>
    <t>% DE AVANCE REAL</t>
  </si>
  <si>
    <t>EFICIENTAR LOS SERVICIOS CATASTRALES A TRAVÉS DE LA OPTIMIZACION DE INFRAESTRUCTURA</t>
  </si>
  <si>
    <t>TIEMPO DE RESPUESTA PROMEDIO ANTE CUALQUIER TRAMITE CATASTRAL</t>
  </si>
  <si>
    <t>SEGUIMIENTO AL REPORTE DIARIO</t>
  </si>
  <si>
    <t xml:space="preserve">TIEMPO DE RESPUESTA PROMEDIO </t>
  </si>
  <si>
    <t>TIEMPO QUE EL AREA DE CATASTRO TARDA EN REALIZAR UN TRAMITE</t>
  </si>
  <si>
    <t>BITACORAS INTERNAS DE SERVICIO</t>
  </si>
  <si>
    <t>FALTA DE CONTROL ADMINISTRATIVO</t>
  </si>
  <si>
    <t>TIEMPO DE RESPUESTA ACTUAL</t>
  </si>
  <si>
    <t xml:space="preserve">VINCULAR Y ACTUALIZAR VALORES CATASTRALES DE LA TOTALIDAD DE CUENTAS REGISTRADAS EN EL PADRÓN </t>
  </si>
  <si>
    <t>% DE VALORES CATASTRALES ACTUALIZADOS</t>
  </si>
  <si>
    <t>SISTEMA DE GESTION CATASTRAL</t>
  </si>
  <si>
    <t>% ESPERADO</t>
  </si>
  <si>
    <t>% DE VALORES CATASTRALES ACTUALIZADOS AL 2020</t>
  </si>
  <si>
    <t>AVANCE EN EL SISTEMA DE GESTION CATASTRAL</t>
  </si>
  <si>
    <t>FALTA DE SISTEMA DE GESTION CATASTRAL ACORDE A LAS NECESIDADES DEL ÁREA</t>
  </si>
  <si>
    <t>% ACTUAL</t>
  </si>
  <si>
    <t xml:space="preserve">ORDENAR Y DEPURAR EL ESPACIO ADMINISTRATIVO </t>
  </si>
  <si>
    <t>% DE AVANCE DE ARCHIVOS DIGITALIZADOS</t>
  </si>
  <si>
    <t>INVENTARIO DE ARCHIVOS</t>
  </si>
  <si>
    <t>% DE ARCHIVOS DIGITALIZADOS</t>
  </si>
  <si>
    <t>ARCHIVO HISTORICO</t>
  </si>
  <si>
    <t>FALTA DE EQUIPO NECESARIO PARA LA DIGITALIZACION DEL PADRÓN.</t>
  </si>
  <si>
    <t>ELABORAR MANUAL DE PROCEDIMIENTOS ADMINISTRATIVOS</t>
  </si>
  <si>
    <t>APROBACION DEL MANUAL DE PROCEDIMIENTOS</t>
  </si>
  <si>
    <t>REPORTE DIARIO</t>
  </si>
  <si>
    <t xml:space="preserve">% AVANCE DEL MANUAL </t>
  </si>
  <si>
    <t>MANUAL DE PROCEDIMIENTOS APROBADO</t>
  </si>
  <si>
    <t>PROCEDIMIENTOS INCLUIDOS EN EL SGC</t>
  </si>
  <si>
    <t xml:space="preserve">PROCEDIMIENTOS ESTANDARIZADOS DE FORMA DIFERENTE CONFORME AL SGC </t>
  </si>
  <si>
    <t>% DE ACTUALIZACION DE REGLAMENTO</t>
  </si>
  <si>
    <t>ACTUALIZACION DE REGLAMENTO DE CATASTRO MUNICIPAL</t>
  </si>
  <si>
    <t>APROBACION DEL REGLAMENTO DE CATASTRO MUNICIPAL</t>
  </si>
  <si>
    <t xml:space="preserve">% CUMPLIMIENTO </t>
  </si>
  <si>
    <t>REGLAMENTO APROBADO</t>
  </si>
  <si>
    <t>FALTA DE SEGUIMIENTO AL DESARROLLO DEL REGLAMENTO</t>
  </si>
  <si>
    <t xml:space="preserve">NUEVO SISTEMA DE GESTION CATASTRAL </t>
  </si>
  <si>
    <t>ADQUISICION DE UN SISTEMA DE GESTION CATASTRAL Y ESPECIFICACIONES PARA SU OPTIMO FUNCIONAMIENTO.</t>
  </si>
  <si>
    <t>SISTEMA DE GESTION CATASTRAL ADQUIRIDO</t>
  </si>
  <si>
    <t>OFICINAS CATASTRO</t>
  </si>
  <si>
    <t>NO CONTAR CON EL PRESUPUESTO ASIGNADO PARA ESTA PARTIDA</t>
  </si>
  <si>
    <t>CAPACITACION DEL PERSONAL</t>
  </si>
  <si>
    <t>CAPACITACION EN MATERIA DE ATENCION AL CIUDADANO Y TEMAS ADMINISTRATIVOS ESPECIFICOS DEL ÁREA</t>
  </si>
  <si>
    <t>SISTEMA DE CAPACITACIONES MUNICIPALES</t>
  </si>
  <si>
    <t>CAPACITACIONES ESPERADAS</t>
  </si>
  <si>
    <t>CONSTANCIAS ENTREGADAS</t>
  </si>
  <si>
    <t>FALTA DE APOYO PARA CAPACITAR AL PERSONAL</t>
  </si>
  <si>
    <t>CAPACITACIONES REALIZADAS</t>
  </si>
  <si>
    <t>MATRIZ DE INDICADORES DE RESULTADO</t>
  </si>
  <si>
    <t>COORDINACIÓN DE SERVICIOS GENERALES</t>
  </si>
  <si>
    <t xml:space="preserve"> SERVICIOS MUNICIPALES DE CALIDAD </t>
  </si>
  <si>
    <t>50101</t>
  </si>
  <si>
    <t>6. AGUA LIMPIA Y SANEAMIENTO 9. INDUSTRIA,INNOVACION E INFRAESTRUCTURA 11. CIUDADES Y COMUNIDADES SOSTENIBLES 15. VIDA DE ECOSISTEMAS TERRESTRES</t>
  </si>
  <si>
    <t xml:space="preserve">2. BIENESTAR </t>
  </si>
  <si>
    <t xml:space="preserve">6.6 DESARROLLO SOSTENIBLE DEL TERRITORIO </t>
  </si>
  <si>
    <t>SERVICIOS PÚBLICOS DE CALIDAD</t>
  </si>
  <si>
    <t xml:space="preserve">RECURSOS HUMANOS, GESTION DE LA CIUDAD, SINDICATURA, SECRETARIA GENERAL,CONSTRUCCION DE LA COMUNIDAD,DESARROLLO ECONOMICO </t>
  </si>
  <si>
    <t xml:space="preserve">MEJORAR LA CALIDAD DE VIDA DE LOS HABITANTES DE ZAPOTLANEJO 
</t>
  </si>
  <si>
    <t>CALIDAD DE VIDA EN ZAPOTLANEJO 2018</t>
  </si>
  <si>
    <t xml:space="preserve">Macro indicador que toma en cuenta educacion, servicios publicos,seguridad </t>
  </si>
  <si>
    <t>Indice de ciudades Prosperas</t>
  </si>
  <si>
    <t>Falta de estrategias de impacto que fomenten el cumplimiento de los indicadores</t>
  </si>
  <si>
    <t>CALIDAD DE VIDA ZAPOTLANEJO 2021</t>
  </si>
  <si>
    <t>SATISFACER LAS NECESIDADES BÁSICAS DE LA COMUNIDAD, DE MANERA UNIFORME Y CONTINUA, EN MATERIA DE ASEO PÚBLICO Y RECOLECCIÓN DE RESIDUOS SÓLIDOS, ALUMBRADO PÚBLICO, ASÍ COMO EL MANTENIMIENTO DE PARQUES Y JARDINES MUNICIPALES.</t>
  </si>
  <si>
    <t>DIAGNOSTICO DE SATISFACCIÓN DE LOS CIUDADANOS RESPECTO LOS SERVICIOS PÚBLICOS</t>
  </si>
  <si>
    <t>ENCUESTAS PRIVADAS</t>
  </si>
  <si>
    <t>anual</t>
  </si>
  <si>
    <t xml:space="preserve">% DE SATISFACCIÓN DE LOS CIUDADANOS </t>
  </si>
  <si>
    <t>INDICADORES DE SATISFACCIÓN DE LOS SERVICIOS PÚBLICOS</t>
  </si>
  <si>
    <t>Encuesta Diagnostico Interna</t>
  </si>
  <si>
    <t xml:space="preserve">ESTRATEGIAS DE MEJORAS MAL FUNDAMENTADAS </t>
  </si>
  <si>
    <t>% DIAGNOSTICO 2021</t>
  </si>
  <si>
    <t>ACCESIBILIDAD AL ESPACIO PÚBLICO ABIERTO</t>
  </si>
  <si>
    <t xml:space="preserve">%  del área urbana del municipio cercana a espacios públicos </t>
  </si>
  <si>
    <t xml:space="preserve">Indice de Ciudades Prosperas </t>
  </si>
  <si>
    <t>Anual</t>
  </si>
  <si>
    <t>% de espacios públicos recreativos en comparativa con la densidad del municipio</t>
  </si>
  <si>
    <t>aumentar el % de espacios Públicos de calidad en el municipio</t>
  </si>
  <si>
    <t xml:space="preserve">FALTA DE PRESUPUESTO PARA DIGNIFICAR ESPACIOS PÚBLICOS </t>
  </si>
  <si>
    <t xml:space="preserve">ABATIR EL DÉFICIT Y DAR MANTENIMIENTO ADECUADO A LA RED DE ALUMBRADO PÚBLICO. </t>
  </si>
  <si>
    <t xml:space="preserve">Cobertura en el servicio de alumbrado público. </t>
  </si>
  <si>
    <t xml:space="preserve">GUIA CONSULTIVA </t>
  </si>
  <si>
    <t>% DE COBERTURA EN EL MUNICIPIO DE ZAPOTLANEJO</t>
  </si>
  <si>
    <t>La cobertura en el servicio de alumbrado público es mayor o igual a 80%.</t>
  </si>
  <si>
    <t>GUIA CONSULTIVA 2021</t>
  </si>
  <si>
    <t xml:space="preserve">FALTA DE PRESUPUESTO PARA ESTA PARTIDA </t>
  </si>
  <si>
    <t>% DE COBERTURA AL MOMENTO</t>
  </si>
  <si>
    <t>ABATIR EL DÉFICIT EN EL SERVICIO DE AGUA POTABLE EN VIVIENDAS PARTICULARES.</t>
  </si>
  <si>
    <t>PORCENTAJE DE ACCESO A AGUA MEJORDA</t>
  </si>
  <si>
    <t>IIEJ</t>
  </si>
  <si>
    <t xml:space="preserve">%  DE POBLACION CUBIERTA CON EL SERVICIO DE AGUA MEJORADA ( AGUA POTABLE </t>
  </si>
  <si>
    <t>% DE HABITANTES DE ZAPOTLANEJO QUE CUENTAN CON AGUA POTALE</t>
  </si>
  <si>
    <t>IIEJ (ULTIMA INFORMACIÓN)</t>
  </si>
  <si>
    <t xml:space="preserve">FALTA DE CONTROL EN ASENTAMIENTOS IRREGULARES </t>
  </si>
  <si>
    <t xml:space="preserve">GARANTIZAR LA CONCENTRACIÓN Y TRATAMIENTO DE LAS AGUAS RESIDUALES PARA SU DEBIDA UTILIZACIÓN. </t>
  </si>
  <si>
    <t xml:space="preserve">TRATAMIENTO DE AGUAS RESIDUALES </t>
  </si>
  <si>
    <t xml:space="preserve">SIME </t>
  </si>
  <si>
    <t xml:space="preserve">% DE AGUA TRATADA EN ZAPOTLANEJO </t>
  </si>
  <si>
    <t>AUMENTAR EL TRATAMIENTO DE AGUAS RESIDUALES EN ZAPOTLANEJO</t>
  </si>
  <si>
    <t xml:space="preserve">BITACORAS INTERNAS </t>
  </si>
  <si>
    <t xml:space="preserve">FALTA DE MANTENIMIENTO PREVENTIVO Y CORRECTIVO A INSTALACIONES, NUEVAS PLANTAS TRATADORAS PARA AUMENTAR LA COBERTURA, FALTA DE CUMPLIMIENTO A LOS LINIAMIENTOS NORMATIVOS QUE MARCA LA FEDERACION PARA DEJAR TRABAJAR A EMPRESAS PRIVADAS QUE CONECTEN SUS RESIDUOS A LOS DRENAJES MUNICIPALES </t>
  </si>
  <si>
    <t>% DE AGUA TRATADA A CIERRE SEPTIEMBRE 2021</t>
  </si>
  <si>
    <t>CONTAR CON CARNE VERIFICADA PARA TODOS LOS HABITANTES DEL MUNICIPIO</t>
  </si>
  <si>
    <t>ONT</t>
  </si>
  <si>
    <t xml:space="preserve">% DE SACRIFICIOS EN EL RASTRO MUNICIPAL Y TERCERAS PERSONAS </t>
  </si>
  <si>
    <t xml:space="preserve">% DE SACRIFICIOS REALIZADOS EN EL RASTRO EN COMPARACION CON LOS PERMISOS PRIVADOS DE MATANZA </t>
  </si>
  <si>
    <t>FALTA DE SEGUIMIENTO A LAS BITACORAS DE MATANZA A PARTICULARES</t>
  </si>
  <si>
    <t xml:space="preserve">% DE CARNE VERIFICADA CONTRA LAS NECESIDADES DEL MUNICIPIO </t>
  </si>
  <si>
    <t>% DE COBERTURA EN LA  RECOLECCION DE RESIDUOS SOLIDOS EN EL MUNICIPIO</t>
  </si>
  <si>
    <t xml:space="preserve">RECOLECCION DE RESIDUOS SOLIDOS </t>
  </si>
  <si>
    <t>% TASA DE COBERTURA DE RESIDUOS A 2018</t>
  </si>
  <si>
    <t>Proporción de viviendas que cuentan con servicio de re- colección de residuos sólidos.</t>
  </si>
  <si>
    <t>GUIA CONSULTIVA</t>
  </si>
  <si>
    <t xml:space="preserve">FALTA DE NUEVOS MODELOS LOGISTICOS PARA BRINDAR MAYOR COBERTURA </t>
  </si>
  <si>
    <t>% DE COBERTURA ACTUAL</t>
  </si>
  <si>
    <t>A.1 PRESERVAR EL VALOR DE LA INFRAESTRUCTURA MUNICIPAL  MINIMIZANDO EL USO Y EL DETERIORO</t>
  </si>
  <si>
    <t>TOTAL DE ACCIONES DE MANTENIMIENTO REALIZADAS EN EL MUNICIPIO</t>
  </si>
  <si>
    <t>TOTAL DE ACCIONES REALIZADAS EL AÑO PASADO</t>
  </si>
  <si>
    <t>ACCIONES DE MANTENIMIENTO IGUAL O &gt; A LAS DEL AÑO PASADO</t>
  </si>
  <si>
    <t>FALTA DE CAPITAL HUMANO SUFICIENTE</t>
  </si>
  <si>
    <t>ACCIONES REALIZADAS EN EL AÑO VIGENTE</t>
  </si>
  <si>
    <t>ACCIONES DE MANTENIMIENTO REALIZADAS A EDIFICIOS PÚBLICOS</t>
  </si>
  <si>
    <t>ACCIONES DE MANTENIMIENTO REALIZADAS A ESCUELAS DEL MUNICIPIO</t>
  </si>
  <si>
    <t xml:space="preserve">A.2 DIGNIFICAR LOS ESPACIOS PÚBLICOS 
</t>
  </si>
  <si>
    <t>ACONDICIONAMIENTO DE ESPACIOS PÚBLICOS</t>
  </si>
  <si>
    <t>A.3 ELABORAR Y EJECUTAR LOS PROGRAMAS MUNICIPALES PARA LA CONSERVACIÓN, REHABILITACIÓN, APROVECHAMIENTO, CREACIÓN Y CUIDADO DE LAS ÁREAS VERDES, FUENTES, PLAZAS, MONUMENTOS Y ESPACIOS VERDES DEL MUNICIPIO.</t>
  </si>
  <si>
    <t>MANTENIMIENTO A ÁREAS VERDES DEL MUNICIPIO</t>
  </si>
  <si>
    <t>A.4 MANTENER EN OPTIMAS CONDICIONES EL PARQUE VEHICULAR MUNICIPAL</t>
  </si>
  <si>
    <t>VEHICULOS DEL AYUNTAMIENTO REPARADOS</t>
  </si>
  <si>
    <t>VEHICULOS EN BUENAS CONDICIONES (PADRÓN MUNICIPAL)</t>
  </si>
  <si>
    <t xml:space="preserve">VEHICULOS DADOS DE ALTA EN EL PADRÓN/ VEHICULOS EN BUENAS CONDICIONES </t>
  </si>
  <si>
    <t xml:space="preserve">BITACORA ADMINISTRATIVA </t>
  </si>
  <si>
    <t xml:space="preserve">FALTA DE CULTURA PREVENTIVA A LOS USUARIOS DE VEHICULOS OFICIALES </t>
  </si>
  <si>
    <t>% DE VEHICULOS EN BUENAS CONDICIONES A CIERRE 2021</t>
  </si>
  <si>
    <t>A.5PROPORCIONAR LOS SERVICIOS DE AGUA POTABLE Y ALCANTARILLADO EN FORMA OPORTUNA Y SUFICIENTE A LA POBLACIÓN, DE LA CABECERA MUNICIPAL, Y LAS COMUNIDADES.</t>
  </si>
  <si>
    <t>MANTENIMIENTO GENERAL A INFRAESTRUCTURA DE AGUA POTABLE</t>
  </si>
  <si>
    <t>A.6 PRODUCIR EFLUENTE REUTILIZABLE EN EL AMBIENTE Y UN RESIDUO SÓLIDO CONVENIENTES PARA SU DISPOSICIÓN O REUTILIZACIÓN</t>
  </si>
  <si>
    <t>VOLUMEN DE AGUAS TRATADAS</t>
  </si>
  <si>
    <t>TOTAL DE AGUAS TRATADAS EL AÑO PASADO</t>
  </si>
  <si>
    <t>AGUAS TRATADAS IGUAL O &gt; A LAS DEL AÑO PASADO</t>
  </si>
  <si>
    <t>FALTA DE MANTENIMIENTO PREVENTIVO A PLANTA TRATADORA</t>
  </si>
  <si>
    <t>AGUAS TRATADAS AL MOMENTO</t>
  </si>
  <si>
    <t>A.7 FOMENTAR QUE EL MAYOR NÚMERO DE SACRIFICIOS DE GANADO EN EL MUNICIPIO SE REALICE EN RASTROS EN CONDICIONES DE SANIDAD E HIGIENE.</t>
  </si>
  <si>
    <t>COBERTURA DEL SERVICIO DE RASTRO</t>
  </si>
  <si>
    <t>COBERTUA DEL RASTRO 2020</t>
  </si>
  <si>
    <t>La cobertura del servicio de rastro es mayor o igual a 80%.</t>
  </si>
  <si>
    <t>FALTA DE SEGUIMIENTO A MATADEROS DEL MUNICIPIO ( REGULARIZADOS Y CLANDESTINOS)</t>
  </si>
  <si>
    <t>A.8 REPARAR Y DAR MANTENIMIENTO AL SISTEMA DE ALUMBRADO PÚBLICO, AUMENTAR LA SEGURIDAD Y LA FLUIDEZ DE LA CIRCULACIÓN EN LAS VIALIDADES, AYUDANDO A REDUCIR EL NÚMERO DE ACCIDENTES DURANTE LA NOCHE. AUMENTAR LA SEGURIDAD DE LAS PERSONAS Y SUS BIENES.</t>
  </si>
  <si>
    <t>MANTENIMIENTO ELECTRICO A INFRAESTRUCTURA MUNICIPAL</t>
  </si>
  <si>
    <t>A.9 MANTENER EL MUNICIPIO  LIMPIO PRESTANDO LOS SERVICIOS DE CALIDAD EN EL MANEJO DE LOS RESIDUOS SÓLIDOS URBANOS.</t>
  </si>
  <si>
    <t>RESIDUOS RECOLECTADOS EN EL CENTRO HISTORICO</t>
  </si>
  <si>
    <t xml:space="preserve">ACCIONES DE LIMPIEZA IGUAL O &gt; A LAS DEL AÑO PASADO </t>
  </si>
  <si>
    <t>MENOS PERSONAL ENFOCADO A REALIZAR LIMPIEZA DE CABECERA MUNICIPAL</t>
  </si>
  <si>
    <t>A.10 FAVORECER LA SALUD DE LA CIUDADANÍA, CONTROLANDO LA POBLACIÓN CANINA CALLEJERA Y FOMENTANDO UNA CULTURA DE PROTECCIÓN HACIA LOS ANIMALES.</t>
  </si>
  <si>
    <t>REPORTES ATENDIDOS</t>
  </si>
  <si>
    <t>REPORTES  HECHOS POR LA CIUDADANIA</t>
  </si>
  <si>
    <t>EFICIENCIA DE REPORTES ATENDIDOS / REPORTES HECHOS</t>
  </si>
  <si>
    <t xml:space="preserve">FALTA DE SEGUIMIENTO A REPORTES  DE LA CIUDADANIA </t>
  </si>
  <si>
    <t xml:space="preserve">REPORTES REALIZADOS POR EL DEPARTAMENTO </t>
  </si>
  <si>
    <t>A.11 GARANTIZAR EL SUMINISTRO CONTINUO Y OPORTUNO DE LOS MATERIALES Y MEDIOS DE PRODUCCIÓN REQUERIDOS PARA ASEGURAR LOS SERVICIOS DE FORMA ININTERRUMPIDA Y RÍTMICA.</t>
  </si>
  <si>
    <t>EXISTENCIA EN ALMACEN</t>
  </si>
  <si>
    <t>PROMEDIO DE EXISTENCIAS  DEL AÑO PASADO</t>
  </si>
  <si>
    <t>STOCK DE ALMACEN ESPECIFICO A LAS NECESIDAS DEL AYUNTAMIENTO</t>
  </si>
  <si>
    <t>INVENTARIO INTERNO</t>
  </si>
  <si>
    <t xml:space="preserve">MATERIALES INECESARIOS EN EL ALMACEN </t>
  </si>
  <si>
    <t>PROMEDIO DE EXISTENCIAS  DEL AÑO VIGENTE</t>
  </si>
  <si>
    <t>Matriz de Indicadores de Resultado (MIR)</t>
  </si>
  <si>
    <t>CONSTRUCCION DE LA COMUNIDAD</t>
  </si>
  <si>
    <t xml:space="preserve">PROGRAMA PARA CONSTRUIR COMUNIDADES SANAS QUE FOMENTEN LA PAZ SOCIAL </t>
  </si>
  <si>
    <t>701010</t>
  </si>
  <si>
    <t>3. SALUD Y BIENESTAR 4. EDUCACION DE CALIDAD 5. IGUALDAD DE GENERO 10. REDUCCION DE LAS DESIGUALDADES 11. CIUDADES Y COMUNIDADES SOSTENIBLES</t>
  </si>
  <si>
    <t xml:space="preserve">EJE 2: BIENESTAR SOCIAL </t>
  </si>
  <si>
    <t>6.4 DESARROLLO SOCIAL</t>
  </si>
  <si>
    <t xml:space="preserve">BIENESTAR PARA TODAS Y TODOS </t>
  </si>
  <si>
    <t>RECURSOS HUMANOS,SEGURIDAD PÚBLICA, SECRETARIA GENERAL, GABINETE, DESARROLLO EOCNOMICO,SERVICIOS GENERALES.</t>
  </si>
  <si>
    <t xml:space="preserve">Mejorar la calidad de vida de los habitantes de Zapotlanejo 
</t>
  </si>
  <si>
    <t>Fomentar estrategias para la formación ciudadana, la construcción de comunidades y el fortalecimiento del tejido social "sana convivencia y paz social"</t>
  </si>
  <si>
    <t>DIAGNOSTICO DE SATISFACCIÓN GENERAL DE LOS PROYECTOS ESPECIFICOS DE   CONSTRUCCION DE LA COMUNIDAD</t>
  </si>
  <si>
    <t>DIAGNOSTICO INTERNO</t>
  </si>
  <si>
    <t>% de satisfacción esperado</t>
  </si>
  <si>
    <t>ver la satisfacción de la ciudadania ante la realización de eventos que fomenten la construccion de la comunidad</t>
  </si>
  <si>
    <t>Diagnostico Interno</t>
  </si>
  <si>
    <t>Falta de aplicación del diagnostico para ver la satisfacción de los programas con fines de construccion de la comunidad</t>
  </si>
  <si>
    <t>% de satisfacción optenido</t>
  </si>
  <si>
    <t>R.1 Ofrecer un espacio recreativo donde los habitantes del municipio puedan promover la sana convivencia y paz social como oportunidad para mejorar el bienestar de la sociedad</t>
  </si>
  <si>
    <t xml:space="preserve">ENCUESTA DE SATISFACCIÓN DEL PARQUE </t>
  </si>
  <si>
    <t>% DE SATISFACCIÓN  ESTIMADO</t>
  </si>
  <si>
    <t>Aumentar la satisfacción de los visitantes del lugar</t>
  </si>
  <si>
    <t>Diagnostico interno</t>
  </si>
  <si>
    <t xml:space="preserve">Falta de aplicación del diagnostico para ver la realidad del parque </t>
  </si>
  <si>
    <t>% DE SATISFACCIÓN 2021</t>
  </si>
  <si>
    <t>R.2 Fomentar el desarrollo integral de los habitantes de Zapotlanejo</t>
  </si>
  <si>
    <t>Población alfabetizada</t>
  </si>
  <si>
    <t xml:space="preserve">MIDE JALISCO </t>
  </si>
  <si>
    <t>% DE ALBATEIZACION 2020</t>
  </si>
  <si>
    <t>Aumentar el grado de alfabetizacion municipale</t>
  </si>
  <si>
    <t xml:space="preserve">Secretaria de Educacion </t>
  </si>
  <si>
    <t>Falta de politicas que fomenten el desarrollo educativo</t>
  </si>
  <si>
    <t>% DE ALFABETIZACION 2021</t>
  </si>
  <si>
    <t>R.3 Llegar al mayor número de Zapotlanejenses  para que a través de la implementación de diversos programas culturales  se estimule el desarrollo integral de las familias así como impulsar la producción artística, el fortalecimiento de nuestras tradiciones.</t>
  </si>
  <si>
    <t>Asistentes a eventos culturales</t>
  </si>
  <si>
    <t>PERSONAS QUE ASISTIERON A EVENTOS CULTURALES EN 2020</t>
  </si>
  <si>
    <t>Tener mayor cantidad de asistentes a eventos culturales</t>
  </si>
  <si>
    <t xml:space="preserve">Contingencias que eviten el desarrollo de eventos </t>
  </si>
  <si>
    <t>PERSONAS QUE ASISTIERON A EVENTOS CULTURALES EN 2021</t>
  </si>
  <si>
    <t>R.4 Llegar al mayor número de Zapotlanejenses para que a través de la implementación de diversos programas  deportivos se estimule el desarrollo integral de las familias así como impulsar , el desarrollo  de los deportistas .</t>
  </si>
  <si>
    <t>indices de obecidad en zapotlanejo</t>
  </si>
  <si>
    <t>INDICE DE OBECIDAD 2020</t>
  </si>
  <si>
    <t>Bajar los indices de obecidad del municipio</t>
  </si>
  <si>
    <t>Secretaria de salud</t>
  </si>
  <si>
    <t>Estrategias para evatir este problema mal fundamentadas</t>
  </si>
  <si>
    <t>INDICE DE OBECIDAD 2021</t>
  </si>
  <si>
    <t>R.5,9 Movilizar el tejido social de nuestra ciudad, sobre la base de los valores participativos, para entre todos/as crear una ciudad dinámica y participativa</t>
  </si>
  <si>
    <t xml:space="preserve">PADRÓN DE PARTICIPACION CIUDADANA </t>
  </si>
  <si>
    <t>HERRAMIENTAS PARTICIPATIVAS ESPERADAS EN 2021</t>
  </si>
  <si>
    <t>Contar con alguna herramienta participativa en todas las comunidades que integran el municipio</t>
  </si>
  <si>
    <t>Bitacora Interna</t>
  </si>
  <si>
    <t xml:space="preserve">Falta de compromiso entre gobierno y sociedad por escuchar las propuestas de los más necesitados </t>
  </si>
  <si>
    <t>HERRAMINIENTAS PARTICIPATIVAS GENERADAS EN 2021</t>
  </si>
  <si>
    <t>R.6-8 Impulsar una sociedad en la que los ciudadanos ejerzan plenamente sus derechos sociales y se reduzcan las desigualdades de las personas, a fin de lograr un desarrollo integral, sostenible y corresponsable.</t>
  </si>
  <si>
    <t>Posición en el Índice de Rezago Social</t>
  </si>
  <si>
    <t>POSICIÓN 2018</t>
  </si>
  <si>
    <t>SUBIR EN EL RANKING ESTATAL DE LOS MUNICIPIOS QUE CUENTAN CON MENOR REZAGO SOCIAL</t>
  </si>
  <si>
    <t>Programas sociales con criterios idefinidos por parte del Gobierno Federal</t>
  </si>
  <si>
    <t>POSICIÓN 2021</t>
  </si>
  <si>
    <t>A.1 Fomentar la conservarción  de  un espacio  con valor historico, cultural y recreativo donde se pueda convivir directamente con la naturaleza conservando la biodiversidad del entorno.</t>
  </si>
  <si>
    <t xml:space="preserve">Acciones de mantenimiento realizadas en el parque </t>
  </si>
  <si>
    <t>% de avance en el programa de mantenimiento preventivo 2020</t>
  </si>
  <si>
    <t xml:space="preserve">Completar el programa de mantenimiento preventivo </t>
  </si>
  <si>
    <t>Falta de coordinacion en el ejecucion de programas preventivos de mantenimiento</t>
  </si>
  <si>
    <t>% de avance en el programa de mantenimiento preventivo 2021</t>
  </si>
  <si>
    <t xml:space="preserve">A.2 Promover el desarrollo educativo en el Municipio </t>
  </si>
  <si>
    <t>Gestiones ante entidades estatales y federales que fomenten el desarrollo educativo del municipio</t>
  </si>
  <si>
    <t>Gestiones realizadas en 2020</t>
  </si>
  <si>
    <t>Aumentar las gestiones de alto impacto que generen el desarrollo educativo del municipio</t>
  </si>
  <si>
    <t>Falta de seguimiento a programas de apoyo en el sector educativo</t>
  </si>
  <si>
    <t>Gestiones realizadas en 2021</t>
  </si>
  <si>
    <t>A.3 Fomentar actividades culturales con fines recreativos, buscando un  enfoque incluyente en los diferentes espacios Públicos que integran  el municipio.</t>
  </si>
  <si>
    <t xml:space="preserve">Padrón total de participantes en las diferentes actividades culturales </t>
  </si>
  <si>
    <t>padrón de beneficiarios 2020</t>
  </si>
  <si>
    <t>Aumentar el padrón de benfeciarios culturales  en comparativa con el 2021</t>
  </si>
  <si>
    <t xml:space="preserve">Contingencias que eviten el desarroo de eventos Culturales </t>
  </si>
  <si>
    <t>Padrón de beneficiarios 2021</t>
  </si>
  <si>
    <t xml:space="preserve">A.4 Promover el deporte con fines recreativos </t>
  </si>
  <si>
    <t xml:space="preserve">Padrón total de participantes en las diferentes actividades deportivas que realiza el área de deportes </t>
  </si>
  <si>
    <t>Aumentar el padrón de benfeciarios deportivos en comparativa con el 2021</t>
  </si>
  <si>
    <t>Contingencias que eviten el desarrollo de eventos deportivos</t>
  </si>
  <si>
    <t>A.5 Fomentar la participacion ciudadana en todo el municipio</t>
  </si>
  <si>
    <t>Fomentar la participacion ciudadana por medio de asociaciones vecinales, comites de obra y contralorias ciudadanas.</t>
  </si>
  <si>
    <t>Total de ciudadanos participantes en alguna asociacion, comité o contraoria ciudadana en 2020</t>
  </si>
  <si>
    <t xml:space="preserve">Aumentar la participacion de la ciudadania </t>
  </si>
  <si>
    <t xml:space="preserve">Desinteres de la ciudadania por ser participes activos </t>
  </si>
  <si>
    <t>Total de ciudadanos participantes en alguna asociacion, comité o contraoria ciudadana en 2021</t>
  </si>
  <si>
    <t xml:space="preserve">A.6 Proveer de acciones especificas que fomenten el desarrollo social </t>
  </si>
  <si>
    <t>Programas con fines sociales aplicados en el municipio</t>
  </si>
  <si>
    <t>Programas sociales aplicados en el 2020</t>
  </si>
  <si>
    <t>Aumentar el número de beneficiarios con programas sociales aplicados en el municipio</t>
  </si>
  <si>
    <t>Bitacoras Internas</t>
  </si>
  <si>
    <t xml:space="preserve">Falta de presupuesto para la aplicación de algunos programas sociales </t>
  </si>
  <si>
    <t>Programas sociales aplicados en el 2021</t>
  </si>
  <si>
    <t>A.7 Realizar acciones que promuevan la igualdad entre hombres y mujeres</t>
  </si>
  <si>
    <t>Mujeres que participaron activamente en los eventos realizados por el Instituto de la Mujer</t>
  </si>
  <si>
    <t>Mujeres participantes en eventos en 2020</t>
  </si>
  <si>
    <t>Aumentar la promocion,difusion y participacion de las mujeres  en el municipio en comparativa con el 2020</t>
  </si>
  <si>
    <t>Mujeres participantes en eventos en 2021</t>
  </si>
  <si>
    <t xml:space="preserve">A.8 Realizar acciones que promuevan el desarrollo igualitario entre  nuestros jovenes </t>
  </si>
  <si>
    <t>Jovenes que participaron activamente en los eventos realizados por el Instituto de la Juventud</t>
  </si>
  <si>
    <t>Jovenes participantes en eventos en 2020</t>
  </si>
  <si>
    <t>Aumentar la promocion,difusion y participacion de los jovenes en el municipio en comparativa con el 2020</t>
  </si>
  <si>
    <t>Jovenes participantes en eventos en 2021</t>
  </si>
  <si>
    <t>A.9 Dotar espacios Públicos que fomenten el desarrollo sostenible de la comunidad</t>
  </si>
  <si>
    <t>Eventos Realizados en CDC's</t>
  </si>
  <si>
    <t>EVENTOS REALIZADOS EN AÑO PASADO</t>
  </si>
  <si>
    <t>Aumentar el número de eventos internos de los CDC</t>
  </si>
  <si>
    <t>EVENTOS REALIZADOS EN 2021</t>
  </si>
  <si>
    <t>F-GAB-03-04</t>
  </si>
  <si>
    <t>PROGRAMAS SOCIALES</t>
  </si>
  <si>
    <t xml:space="preserve">PROGRAMA ESPECIFICO DE VULNERABILIDADES LOCALES </t>
  </si>
  <si>
    <t>1. FIN DE LA POBREZA 8. TRABAJO DECENTE Y CRECIMIENTO ECONOMICO 10. REDUCCIONES DE LAS DESIGUALDADES3. SALUD Y BIENESTAR 4. EDUCACION DE CALIDAD 5. IGUALDAD DE GENERO 10. REDUCCION DE LAS DESIGUALDADES 11. CIUDADES Y COMUNIDADES SOSTENIBLES</t>
  </si>
  <si>
    <t>GOBIERNO ESTATAL Y FEDERAL, ONU, HABITANTES DE ZAPOTLANEJO</t>
  </si>
  <si>
    <t xml:space="preserve"> CONTRIBUIR A LA MEJORA DE LAS CONDICIONES DE VIDA DE LA POBLACIÓN</t>
  </si>
  <si>
    <t>CALIDAD DE VIDA DEL MUNICIPIO DE ZAPOTLANEJO</t>
  </si>
  <si>
    <t>CALIFICACION OTORGADA CON BASE AL CUMPLIMIENTO DE INDICADORES OPTIMOS</t>
  </si>
  <si>
    <t>RECESIÓN ECONOMICA A NIVEL GLOBAL /MALA DISPERCION DE LOS APOYOS / FALTA DE APOYO A NIVEL ESTATAL Y FEDERAL/ GESTIONES INADECUADAS POR PARTE DEL GOBIERNO LOCAL</t>
  </si>
  <si>
    <t>ABATIR LOS DIFERENTES TIPOS DE REZAGO CON LOS QUE CUENTA EL MUNICIPIO</t>
  </si>
  <si>
    <t>POBREZA MULTIDIMENCIONAL EN ZAPOTLANEJO</t>
  </si>
  <si>
    <t xml:space="preserve">IIEG </t>
  </si>
  <si>
    <t>PORCENTAJE DE POBREZA MULTIDIMENCIONAL EN ZAPOTLANEJO</t>
  </si>
  <si>
    <t>CONTAR CON UN PORCENTAJE DE POBREZA MULTIDIMENCIONAL INFERIOR AL 36.3 SEGÚN LAS VARIABLES UTILIZADAS POR EL IIEG (ESTADISTICA 2015)</t>
  </si>
  <si>
    <t>EL MUNCIPIO CUENTA CON UN PORCENTAJE DE POBREZA MULTIDIMENCIONAL  IGUAL O INFERIOR AL 36.2</t>
  </si>
  <si>
    <t>POBREZA MULTIDIMENCIONAL EN ZAPOTLANEJO ACTUALMENTE</t>
  </si>
  <si>
    <t>BAJAR LOS INDICADORES DE CARENCIAS SOCIALES DENTRO DEL MUNICIPIO</t>
  </si>
  <si>
    <t>PROVEER DE APOYOS QUE BENEFICIEN EL DESARROLLO ECONOMICO DEL MUNICIPIO</t>
  </si>
  <si>
    <t>BAJAR LA DESERCIÓN ESCOLAR EN EL MUNICIPIO</t>
  </si>
  <si>
    <t xml:space="preserve">PERSONAS BENEFICIADAS CON ALGUN TIPO DE APOYO </t>
  </si>
  <si>
    <t>HABITANTES DEL MUNICIPIO BENEFICIADOS CON EL PROGRAMA</t>
  </si>
  <si>
    <t xml:space="preserve">MALA DISPERCION DE APOYOS A BENEFICIADOS/FALTA DE CAMPAÑAS DE  DIFUSION DE APOYOS </t>
  </si>
  <si>
    <t xml:space="preserve">TOTAL DE BENEFICIADOS AL TERMINO DEL AÑO </t>
  </si>
  <si>
    <t>GABINETE</t>
  </si>
  <si>
    <t>PLANEACIÓN ESTRATÉGICA MUNICIPAL (P.E.M)</t>
  </si>
  <si>
    <t>CONTRIBUIR A MEJORAR Y CONSOLIDAR LAS CAPACIDADES  INSTITUCIONALES DE LA ADMINISTRACION PUBLICA MUNICIPAL IMPULSANDO MEJORES PRACTICAS Y PROMOVIENDO LA CULTURA DE LA EVALUACION PARA LOGRAR MEJORES RESULTADOS.</t>
  </si>
  <si>
    <t>DISEÑAR,COORDINAR E IMPLEMENTAR ESTRATEGIAS QUE GENEREN LA MEJORA EN LOS PROCESOS DE MANERA COLEGIADA E INTER-INSTITUCIONAL</t>
  </si>
  <si>
    <t>CALIFICACION OTORGADA POR EL ITEI</t>
  </si>
  <si>
    <t>CAMBIO DE HERRAMIENTAS DE PLANEACION DEBIDO A NUEVAS POLITICAS</t>
  </si>
  <si>
    <t>SEGUIMIENTO AL PROGRAMA DE MEJORA INSTITUCIONAL</t>
  </si>
  <si>
    <t>CUMPLIMIENTO A LAS METAS DE DETERMINADAS ACCIONES REALIZADAS SEGÚN EL PROGRAMA DE MEJORA INSTITUCIONAL</t>
  </si>
  <si>
    <t>CUMPLIMINTO DE LAS METAS PLANTEADAS POR LA JEFATURA DE GESTION DE CALIDAD CONFORME EL SIME</t>
  </si>
  <si>
    <t>FALTA DE SEGUIMIENTO ESTRATEGICO EN BUSCA DE PUNTOS DE MEJORA A TODAS LAS PARTES QUE INTEGRAN EL AYUNTAMIENTO</t>
  </si>
  <si>
    <t>SEGUIMIENTO AL PROGRAMA INFORMACIÓN PERTINENTE</t>
  </si>
  <si>
    <t>CUMPLIMIENTO A LAS METAS DETERMINADAS POR PARTE DE LAS ACCIONES REALIZADAS SEGÚN EL PROGRAMA INFORMACIÓN PERTINENTE</t>
  </si>
  <si>
    <t>CUMPLIMINTO DE LAS METAS PLANTEADAS POR LA JEFATURA DE SISTEMA DE INFORMACIÓN MUNICIPAL ESTRATEGICA</t>
  </si>
  <si>
    <t>INFORMACIÓN SIN JUSTIFICACION VERIDICA,ÁREAS QUE NO ENTREGAN LA INFORMACIÓN DETERMINADA A TIEMPO.</t>
  </si>
  <si>
    <t>SEGUIMIENTO AL PROGRAMA DE GESTION Y COLABORACION INTER-INSTITUCIONALY DEMAS DEPENDENCIAS GUBERNAMENTALES</t>
  </si>
  <si>
    <t>ACCIONES  EXITOSAS REALIZADAS SEGÚN EL PROGRAMA DE GESTION Y COLABORACION INTER-INSTITUCIONAL</t>
  </si>
  <si>
    <t>CUMPLIMINTO DE LAS METAS PLANTEADAS POR LA JEFATURA DE GESTION Y COORDINACION METROPOLITANA CONFORME EL SIME</t>
  </si>
  <si>
    <t>FALTA DE COMPROMISO EN EL SEGUIMIENTO A LOS ACUERDOS GENERADOS EN LAS DISTINTAS MESAS DE TRABAJO COLABORATIVAS</t>
  </si>
  <si>
    <t>SEGUIMIENTO DE EFICIENCIA DE PROYECTOS DE ALTO IMPACTO (CON RECURSOS PROPIOS, ESTATALES Y FEDERALES)</t>
  </si>
  <si>
    <t xml:space="preserve">SEGUIMIENTO DE BUENAS PRACTICAS </t>
  </si>
  <si>
    <t>PROGRAMAS DESARROLLADOS</t>
  </si>
  <si>
    <t xml:space="preserve">EFICIENCIA DE LOS PROGRAMAS DESARROLLADOS </t>
  </si>
  <si>
    <t xml:space="preserve">CUMPLIMINTO DE LAS METAS PLANTEADAS EN LOS PROGRAMAS ESPECIFICOS </t>
  </si>
  <si>
    <t>FALTA DE SEGUIMIENTO A LOS PROTOCOLOS PARA LA IMPLEMENTACIÓN DE LOS PROYECTOS AVALADOS POR EL ÁREA DE GABINETE</t>
  </si>
  <si>
    <t>PROGRAMAS EXITOSOS</t>
  </si>
  <si>
    <t>SEGUIMIENTO AL PROGRAMA DE MEJORA REGULATORIA MUNICIPAL</t>
  </si>
  <si>
    <t xml:space="preserve">EFICIENCIA EN LOS TIEMPOS  DE LOS TRAMITES QUE LA DIRECCION DE MEJORA REGULATORIA DETERMINO </t>
  </si>
  <si>
    <t xml:space="preserve">BAJAR TIEMPOS DE RESPUESTA EN DETERMINADOS TRAMITES Y /O SERVICIOS </t>
  </si>
  <si>
    <t>FALTA DE APLICACIÓN DE LAS TICS PARA FOMENTAR LA EFICIENCIA DE LOS TRAMITES</t>
  </si>
  <si>
    <t>HERRAMIENTAS DE MEJORA CONTINUA IMPLEMENTADAS A LO LARGO DEL AÑO</t>
  </si>
  <si>
    <t>HERRAMIENTAS DE PLANEACIÓN INSTITUCIONAL</t>
  </si>
  <si>
    <t>HERRAMIENTAS DESARROLLADAS</t>
  </si>
  <si>
    <t>CUMPLIMIENTO CONFORME EL SIME AL PLAN DE TRABAJO</t>
  </si>
  <si>
    <t>POCA SERIEDAD DE LAS APARENTES PARTES BENEFICIADAS PARA LOGRAR ADAPTAR ESTAS NUEVAS HERRAMIENTAS DE MEJORA</t>
  </si>
  <si>
    <t>NÚMERO TOTAL DE AUDITORIAS INTERNAS Y EXTERNAS ENFOCADAS AL DESARROLLO INSTITUCIONAL</t>
  </si>
  <si>
    <t>AUDITORIAS INTERNAS REALIZADAS</t>
  </si>
  <si>
    <t>AUDITORIAS INTERNAS DE DESARROLLO INSTITUCIONAL REALIZADAS</t>
  </si>
  <si>
    <t>CUMPLIMIENTO A LAS AUDITORIAS INTERNAS ESTIPULADAS EN EL CRONOGRAMA DE AUDITORIAS DEL SGC</t>
  </si>
  <si>
    <t>TIEMPOS AJUSTADOS PARA REALIZAR AUDITORIAS INTERNAS MAS EFICIENTES</t>
  </si>
  <si>
    <t>AUDITORIAS INTERNAS CUBIERTAS</t>
  </si>
  <si>
    <t>ACTUALIZACIONES PROPUESTAS</t>
  </si>
  <si>
    <t>ACTULIZACIONES REALIZADAS A L BASE DE DATOS DEL SIME</t>
  </si>
  <si>
    <t>CUMPLIMIENTO REAL AL NUMERO DE ACTUALIZACIONES PROPUESTAS CONFORME A LA META ESTIPULADA POR EL SIME</t>
  </si>
  <si>
    <t>MIGRACION DE LA INFORMACIÓN A OTRA PLATAFORMA</t>
  </si>
  <si>
    <t>ACTUALIZACIONES AL CORTE</t>
  </si>
  <si>
    <t>SUPERVICIONES PROPUESTAS</t>
  </si>
  <si>
    <t xml:space="preserve">SUPERVISIONES REALIZADAS /SUPERVICIONES PROGRAMADAS </t>
  </si>
  <si>
    <t>META AL 100% ALCANZADA DE LA ACCION, REFLEJADA EN EL SIME</t>
  </si>
  <si>
    <t>PARTES INVOLUCRADAS NO CUMPLAN CON LOS ACUERDOS,PRESENTEN EVIDENCIA DIARIA DEFICIENTE Y / O INFORMACIÓN DE DUDOSA PROCEDENCIA</t>
  </si>
  <si>
    <t>SUPERVICIONES REALIZADAS AL CORTE</t>
  </si>
  <si>
    <t>SEGUIMIENTO A LAS MESAS DE TRABAJO ENTRE IMEPLAN Y GOBIERNO LOCAL</t>
  </si>
  <si>
    <t>%. PARTICIPACIONES</t>
  </si>
  <si>
    <t>CUMPLIMIENTO A LA META DE ASISTENCIAS A LAS MESAS DE COORDINACION METROPOLITANA PROGRAMADAS</t>
  </si>
  <si>
    <t>NO ASISTIR A ALGUNA MESADE COORDINACION METROPOLITANA, DEBIDO A CAUSAS EXTERNAS (ENFERMEDAD, FALTA DE VEHICULO, ETC.) O JUNTAS A LA MISMA HORA Y EN DIFERENTE LUGAR</t>
  </si>
  <si>
    <t>% PARTICIPACIONES</t>
  </si>
  <si>
    <t>TOTAL DE ACUERDOS ATENDIDOS ENTRE LAS DOS INSTANCIAS</t>
  </si>
  <si>
    <t>%. DE ACUERDOS ATENDIDOS</t>
  </si>
  <si>
    <t>CUMPLIMIENTO A LA META DE ACUERDOS ACATADOS/ ACUERDOS REALIZADOS EN LA MESA DE COORDINACION METROPOLITANA</t>
  </si>
  <si>
    <t>ACUERDOS NO ACATADOS DEBIDO A NO SER CONVENIENTES DE APLICAR AL MUNICIPIO</t>
  </si>
  <si>
    <t>% DE ACUERDOS ATENDIDOS AL MOMENTO</t>
  </si>
  <si>
    <t>NÚMERO DE GESIONES REALIZADAS/ NÚMERO DE GESTIONES APROBADAS</t>
  </si>
  <si>
    <t>NUMERO DE GESTIONES DE RECURSOS PROPUESTAS</t>
  </si>
  <si>
    <t>CUMPLIMIENTO A LA META DE % DE EFICIENCIA EN LAS GESTIONES PROPUESTAS Y LAS APROVADAS</t>
  </si>
  <si>
    <t>EFICIENCIA DE LAS GESTIONES DE RECURSOS</t>
  </si>
  <si>
    <t>CRITERIOS POCO CLAROS DE LAS CONVOCATORIAS</t>
  </si>
  <si>
    <t xml:space="preserve">NUMERO DE GESTIONES DE RECURSOS APROBADOS AL CORTE </t>
  </si>
  <si>
    <t xml:space="preserve">ACCIONES A LO LARGO DEL AÑO  QUE FOMENTEN LA EFICIENCIA DE TRAMITES </t>
  </si>
  <si>
    <t>TENTATIVA DE ACCIONES QUE FOMENTEN LA EFICIENCIA DE LOS TRAMITES</t>
  </si>
  <si>
    <t>CUMPLIMIENTO DE LAS METAS DETERMINADAS POR ESTA ÁREA</t>
  </si>
  <si>
    <t>META SUPERADA ENTRE LAS ACCIONES PROPUESTAS Y LAS CULMINADAS</t>
  </si>
  <si>
    <t>FALTA DE INTERES DE LAS ÁREAS POR PROMOVER LA EFICIENCIA DE LOS TRAMITES</t>
  </si>
  <si>
    <t xml:space="preserve"> ACCIONES QUE FOMENTEN LA EFICIENCIA DE LOS TRAMITES</t>
  </si>
  <si>
    <t>PROGRAMA OPERATIVO UNIDAD MULTIFUNCIONAL</t>
  </si>
  <si>
    <t>PATRIMONIO,DESARROLLO ECONOMICO Y COMBATE A LA DESIGUALDAD,INGRESOS MUNICIPALES</t>
  </si>
  <si>
    <t>COMERCIANTES DE ZAPOTLANEJO</t>
  </si>
  <si>
    <t>REGULARIZACION DE COMERCIANTES LOCALES DEACUERDO A LA NORMATIVA APLICABLE</t>
  </si>
  <si>
    <t>% DE CRECIMIENTO RECAUDATORIO EN ESTA PARTIDA</t>
  </si>
  <si>
    <t>REPORTE DE INGRESOS GENERADO POR EL SISTEMA</t>
  </si>
  <si>
    <t>% CRECIMIENTO ESPERADO</t>
  </si>
  <si>
    <t>INGRESOS EN ESTA PARTIDA</t>
  </si>
  <si>
    <t>REPORTE DE INGRESOS REFLEJADOS ANTE TESORERIA</t>
  </si>
  <si>
    <t>HOMOLOGAR CRITERIOS DE FILTROS PARA DAR CON EL RESULTADO PRECISO, JUSTIFICACION ESPECIFICA DE TODO LO INGRESADO POR ESTE DEPARTAMENTO</t>
  </si>
  <si>
    <t>% DE AVANCE</t>
  </si>
  <si>
    <t>TENER UN PADRÓN DE LICENCIAS MUNICIPALES VIVO (ACTUALIZADO Y BIEN ORGANIZADO)</t>
  </si>
  <si>
    <t xml:space="preserve">% DE AVANCE EN LA ACTUALIZACION DEL PADRÓN </t>
  </si>
  <si>
    <t>TAURUS (POR MEDIO DE REPORTES DE ESA ÁREA )</t>
  </si>
  <si>
    <t>REPORTE DE PADRÓN DE LICENCIAS EN EL SISTEMA</t>
  </si>
  <si>
    <t xml:space="preserve">SISTEMA ADMINISTRATIVO UTILIZADO PARA ESTA TAREA </t>
  </si>
  <si>
    <t>DEFICIENCIA EN EL SOFTWARE CON QUE REALIZAN LA RECOGIDA DE DATOS</t>
  </si>
  <si>
    <t xml:space="preserve"> CERTEZA  DE LOS TRAMITES REALIZADOS </t>
  </si>
  <si>
    <t>% AVANCE DE META DEL NUMERO DE LICENCIAS DE GIROS BLANCOS Y RESTRINGIDOS</t>
  </si>
  <si>
    <t>CUMPLIMIENTO DE META ESTABLECIDA</t>
  </si>
  <si>
    <t>% DE CUMPLIMIENTO DEACUERDO A LO PLANTEADO EN EL SIME</t>
  </si>
  <si>
    <t>BAJO DESARRROLLO ECONOMICO LOCAL</t>
  </si>
  <si>
    <t>EXTRACTO DE LAS INSPECCIONES REALIZADAS</t>
  </si>
  <si>
    <t>% AVANCE DE META DEL NUMERO DE INSPECCIONES REALIZADAS A GIROS BLANCOS RESTRINGIDOS Y EVENTOS ESPECIALES</t>
  </si>
  <si>
    <t>BAJA DE INSPECTORES,  MAL PLANTEAMIENTO DE  LAS ACTIVIDADES PRINCIPALES</t>
  </si>
  <si>
    <t>SEGUIMIENTO A LICENCIAS DE GIROS BLANCOS</t>
  </si>
  <si>
    <t xml:space="preserve">% AVANCE DE META DEL NUMERO DE LICENCIAS DE GIROS BLANCOS </t>
  </si>
  <si>
    <t xml:space="preserve">% ACTUAL </t>
  </si>
  <si>
    <t>SEGUIMIENTO A LICENCIAS DE GIROS RESTRINGIDOS</t>
  </si>
  <si>
    <t>% AVANCE DE META DEL NUMERO DE LICENCIAS DE GIROS  RESTRINGIDOS</t>
  </si>
  <si>
    <t xml:space="preserve"> SEGUIMIENTO A INSPECCIONES ORDINARIAS</t>
  </si>
  <si>
    <t xml:space="preserve">% AVANCE DE META DEL NUMERO DE INSPECCIONES ORDINARIAS </t>
  </si>
  <si>
    <t xml:space="preserve"> SEGUIMIENTO A INSPECCIONES EXTRAORDINARIAS</t>
  </si>
  <si>
    <t>% AVANCE DE META DEL NUMERO DE INSPECCIONES EXTRAORDINARIAS REALIZADAS</t>
  </si>
  <si>
    <t xml:space="preserve"> SEGUIMIENTO A EVENTOS ESPECIALES</t>
  </si>
  <si>
    <t>% AVANCE DE META DEL NUMERO DE INSPECCIONES REALIZADAS A  EVENTOS ESPECIALES</t>
  </si>
  <si>
    <t>COORDINACION DE DESARROLLO ECONOMICO</t>
  </si>
  <si>
    <t>PROGRAMA MUNICIPAL DE DESARROLLO ECONOMICO Y COMBATE A LA DESIGUALDAD</t>
  </si>
  <si>
    <t>1. FIN DE LA POBREZA 8. TRABAJO DECENTE Y CRECIMIENTO ECONOMICO 10. REDUCCIONES DE LAS DESIGUALDADES 11. CIUDADES Y COMUNIDADES SOSTENIBLES</t>
  </si>
  <si>
    <t>ZAPOTLANEJO PRODUCTIVO E INNOVADOR</t>
  </si>
  <si>
    <t>INEGI Y SECRETARIA DE DESARROLLO SOCIAL</t>
  </si>
  <si>
    <t>POLITICAS FEDERALES QUE GENEREN UN RETROCESO ECONOMICO EN EL PAIS</t>
  </si>
  <si>
    <t>ANÁLISIS GENERAL  POR PARTE DE LA COORDINACIÓN DE DESARROLLO ECONOMICO</t>
  </si>
  <si>
    <t>FALTA DE COORDINACION ENTRE GOBIERNO Y SECTORES PRODUCTIVOS LOCALES</t>
  </si>
  <si>
    <t xml:space="preserve">EVENTOS DESARROLLADOS </t>
  </si>
  <si>
    <t>EVENTOS DE DESARROLLO ECONOMICO DE ALTO IMPACTO CON TASA DE SATISFACCIÓN &gt; A 90%</t>
  </si>
  <si>
    <t xml:space="preserve">EVENTOS EXITOSOS </t>
  </si>
  <si>
    <t>GESTION DE CREDITOS DEFICIENTES</t>
  </si>
  <si>
    <t>Acuerdos de Cooperación Nacionales e Internacionales</t>
  </si>
  <si>
    <t>CONTRALORIA</t>
  </si>
  <si>
    <t>PLAN MUNICIPAL DE CONTROL INTERNO Y DESARROLLO INSTITUCIONAL</t>
  </si>
  <si>
    <t xml:space="preserve">GOBIERNO ESTATAL, FEDERAL Y CIUDADANOS </t>
  </si>
  <si>
    <t xml:space="preserve">REPORTE DIAGNOSTICO EMITIVO POR PARTE DEL ORGANO DE CONTROL </t>
  </si>
  <si>
    <t>OBSERVACIONES REALIZADAS POR EL ORGANO DE CONTROL</t>
  </si>
  <si>
    <t>NO ACATAR LAS DISPOSICIONES NORMATIVAS DE LOS ORGANOS DE CONTROL INTERNO ESTATAL Y FEDERAL</t>
  </si>
  <si>
    <t>SUPERVICION DE LAS AUDITORIAS DE OBRA PUBLICA Y SUS OBSERVACIONES GENERADAS</t>
  </si>
  <si>
    <t xml:space="preserve">PLATAFORMA DE AUDITORIAS </t>
  </si>
  <si>
    <t xml:space="preserve">OBSERVACIONES  REALIZADAS EN AUDITORIAS DE OBRA PUBLICA </t>
  </si>
  <si>
    <t xml:space="preserve">OBSERVACIONES GENERADAS/ OBSERVACIONES RESUELTAS </t>
  </si>
  <si>
    <t>TENER EL 100% DE OBSERVACIONES SUBSANADAS EN LA PLATAFORMA DE AUDITORIAS INTERNAS</t>
  </si>
  <si>
    <t>SEGUIMIENTO AL CUMPLIMIENTO DE LAS OBSERVACIONES</t>
  </si>
  <si>
    <t>OBSERVACIONES SOLVENTADAS</t>
  </si>
  <si>
    <t>SUPERVISION DE LAS ACCIONES  DE CUMPLIMIENTO  GENERADAS POR CONTROL INTERNO</t>
  </si>
  <si>
    <t>SEGUIMIENTO A LA MIR DE CONTRALORIA</t>
  </si>
  <si>
    <t>% DE CUMPLIMIENTO ESTIPULADO</t>
  </si>
  <si>
    <t>CUMPLIMIENTO A LAS METAS DE DETERMINADAS ACCIONES PROPUESTAS POR EL ÁREA DE CONTROL INTERNO</t>
  </si>
  <si>
    <t>MIR CONTRALORIA</t>
  </si>
  <si>
    <t>FALTA DE SEGUIMIENTO O DISPOSICION PARA CUMPLIR CON LAS METAS ESTABLECIDAS</t>
  </si>
  <si>
    <t>ACTUALIZACION DEL REGLAMENTO MUNICIPAL DE COMBATE A LA CORRUPCION</t>
  </si>
  <si>
    <t>REGLAMENTO ACTUALIZADO</t>
  </si>
  <si>
    <t>SISTEMA DE INFORMACIÓN MUNICIPAL</t>
  </si>
  <si>
    <t>FALTA DE DISPOSICION PARA VALIDAR EL REGLAMENTO</t>
  </si>
  <si>
    <t>SANCIONES GENERADAS</t>
  </si>
  <si>
    <t>SANCIONES GENERADAS MAS NO APLICADAS, ASÍ COMO CONTROL DE LAS MISMAS</t>
  </si>
  <si>
    <t xml:space="preserve">NUMERO DE DELCARACIONES OBLIGADAS A REALIZARSE </t>
  </si>
  <si>
    <t>DECLARACIONES REALIZADAS</t>
  </si>
  <si>
    <t>SIME Y PLATAFORMA DIGITAL DE DECLARACIONES</t>
  </si>
  <si>
    <t xml:space="preserve">SERVIDORES PUBLICOS DADOS DE BAJA, QUE NO SIGUIERON EL PROTOCOLO ADECUADO PARA FINIQUITAR SUS OBLIGACIONES </t>
  </si>
  <si>
    <t>NUMERO DE DECLARACIONES REALIZADAS</t>
  </si>
  <si>
    <t>AUDITORIAS PROGRAMADAS</t>
  </si>
  <si>
    <t>AUDITORIAS REALIZADAS</t>
  </si>
  <si>
    <t>SIME Y PLATAFORMA DE AUDITORIAS</t>
  </si>
  <si>
    <t xml:space="preserve">FALTA DE AUDITORES </t>
  </si>
  <si>
    <t xml:space="preserve">CUBIERTO </t>
  </si>
  <si>
    <t>PROCESO</t>
  </si>
  <si>
    <t xml:space="preserve">INVERSION  POR CENTRO DE COSTOS 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</si>
  <si>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</si>
  <si>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</si>
  <si>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</si>
  <si>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</si>
  <si>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</si>
  <si>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</si>
  <si>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</si>
  <si>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</si>
  <si>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</si>
  <si>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</si>
  <si>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</si>
  <si>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</si>
  <si>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PARTIDA</t>
  </si>
  <si>
    <t>ÁREAS QUE LO INTEGRAN</t>
  </si>
  <si>
    <t>02</t>
  </si>
  <si>
    <t>pleno</t>
  </si>
  <si>
    <t>03</t>
  </si>
  <si>
    <t>presidencia</t>
  </si>
  <si>
    <t>04</t>
  </si>
  <si>
    <t>GESTION DE LA CIUDAD</t>
  </si>
  <si>
    <t>secretaria particular</t>
  </si>
  <si>
    <t>05</t>
  </si>
  <si>
    <t>SERVICIOS MUNICIPALES</t>
  </si>
  <si>
    <t>asuntos del interior</t>
  </si>
  <si>
    <t>06</t>
  </si>
  <si>
    <t>SEGURIDAD PUBLICA</t>
  </si>
  <si>
    <t>comunicación social</t>
  </si>
  <si>
    <t>07</t>
  </si>
  <si>
    <t>transparencia</t>
  </si>
  <si>
    <t>08</t>
  </si>
  <si>
    <t>09</t>
  </si>
  <si>
    <t>10</t>
  </si>
  <si>
    <t>GASTO MENSUAL</t>
  </si>
  <si>
    <t>11</t>
  </si>
  <si>
    <t>DESARROLLO ECONOMICO</t>
  </si>
  <si>
    <t>PRESUPUESTO ASIGNAGO</t>
  </si>
  <si>
    <t>12</t>
  </si>
  <si>
    <t>ADM E INNOVACION</t>
  </si>
  <si>
    <t>TOTAL GASTADO EN PROGRAMAS OPERATIVOS</t>
  </si>
  <si>
    <t>TOTAL GASTADO EN PROGRAMAS ESPECIALES</t>
  </si>
  <si>
    <t>GASTO TOTAL ACTUAL</t>
  </si>
  <si>
    <t>TECHO FINANCIERO</t>
  </si>
  <si>
    <t>REGISTRO CIVIL Y ARCHIVO</t>
  </si>
  <si>
    <t>MATATLAN</t>
  </si>
  <si>
    <t>LA LAJA</t>
  </si>
  <si>
    <t>SANTA FE</t>
  </si>
  <si>
    <t>LA PURISIMA</t>
  </si>
  <si>
    <t>EL SAUCILLO</t>
  </si>
  <si>
    <t>SAN JOSE DE LAS FLORES</t>
  </si>
  <si>
    <t>UNIDAD DE CEMENTERIOS</t>
  </si>
  <si>
    <t>PROTECCIÓN CIVIL</t>
  </si>
  <si>
    <t>DIRECCION DE CONTBILIDAD /INGRESOS/EGRESOS</t>
  </si>
  <si>
    <t>CATASTRO</t>
  </si>
  <si>
    <t xml:space="preserve">APREMIOS </t>
  </si>
  <si>
    <t>INFORMATICA</t>
  </si>
  <si>
    <t xml:space="preserve">GESTIÓN DE LA CIUDAD </t>
  </si>
  <si>
    <t>MAQUINARIA</t>
  </si>
  <si>
    <t xml:space="preserve">ORDENAMIENTO TERRITORIAL </t>
  </si>
  <si>
    <t xml:space="preserve">DESARROLLO RURAL </t>
  </si>
  <si>
    <t>OBRAS PÚBLICAS/GESTION DE OBRA /DEPARTAMENTO DE PROYECTOS/COSTO DE OBRAS PUBLICAS/ADMINISTRACION DE OBRA PUBLICA/SUPERVISION DE OBRAS</t>
  </si>
  <si>
    <t>ECOLOGÍA Y PROTECCIÓN AMBIENTAL</t>
  </si>
  <si>
    <t>SERVICIOS MUNICIPALES /ALMACEN GENERAL</t>
  </si>
  <si>
    <t>ASEO PÚBLICO</t>
  </si>
  <si>
    <t>AGUA POTABLE</t>
  </si>
  <si>
    <t>ESPACIOS DEPORTIVOS PARQUES Y JARDINES</t>
  </si>
  <si>
    <t>RASTRO MUNICIPAL / INSPECCION A ALIMENTOS SANIDAD E HIGIENE</t>
  </si>
  <si>
    <t>ALUMBRADO PÚBLICO</t>
  </si>
  <si>
    <t>RECUPERACIÓN DE IMAGEN URBANA/ MANTENIMIENTO GENERAL</t>
  </si>
  <si>
    <t>MANTENIMIENMTO VEHICULAR</t>
  </si>
  <si>
    <t>PTAR</t>
  </si>
  <si>
    <t>CONTROL CANINO</t>
  </si>
  <si>
    <t>MOVILIDAD Y TRANSPORTE</t>
  </si>
  <si>
    <t>CONSTRUCCION DE LA C</t>
  </si>
  <si>
    <t>CONSTRUCCION DE LA COMUNIDAD /PARQUE PUENTE DE CALDERON</t>
  </si>
  <si>
    <t xml:space="preserve">EDUCACION CDC BELLAVISTA </t>
  </si>
  <si>
    <t>CULTURA/MURALISMO/LOGISTICA</t>
  </si>
  <si>
    <t>DEPORTES Y RECREACION/ PEOMOCION DEPORTIVA</t>
  </si>
  <si>
    <t>PARTICIPACION CIUDADANA</t>
  </si>
  <si>
    <t>INSTITUTO DE LA MUJER</t>
  </si>
  <si>
    <t>INSTITUTO DE LA JUVENTUD</t>
  </si>
  <si>
    <t>SINDICATURA Y COORDINACION DICIPLINARIA</t>
  </si>
  <si>
    <t>DIRECCION JURIDICA/JUIRIDICA Y COMISION DE HONOR Y JUSTICIA/JURIDICO LABORAL</t>
  </si>
  <si>
    <t>JUZGADOS MUNICIPALES</t>
  </si>
  <si>
    <t>PREVENCION SOCIAL Y ADICCIONES</t>
  </si>
  <si>
    <t>CONTRALORIA CIUDADANA/UNIDAD DE CONTROL INTERNO/CONTROL DE INFORMACIÓN E INFORMATICA</t>
  </si>
  <si>
    <t>AUDITORIA FINANCIERA</t>
  </si>
  <si>
    <t>AUDITORIA DE OBRA PÚBLICA</t>
  </si>
  <si>
    <t>GESTION DE CALIDAD Y DESARROLLO INSTITUCIONAL/SISTEMA DE INFORMACIÓN /GESTION DE FONDOS SECTORIALES/DIRECCION DE PROYECTOS ESTRATEGICO</t>
  </si>
  <si>
    <t>UNIDAD MULTIFUNCIONAL DE VERIFICACION</t>
  </si>
  <si>
    <t>PADRÓN Y LICENCIAS</t>
  </si>
  <si>
    <t>DESARROLLO ECONOMICO Y COMBATE A LA DESIGUALDAD</t>
  </si>
  <si>
    <t>CAPACITACION Y DESARROLLO ECONIMICO/DEPARTAMENTO DE PROMOCION ECONOMICA</t>
  </si>
  <si>
    <t>DEPARTAMENTO DE TURISMO</t>
  </si>
  <si>
    <t>RELACIONES INTERNACIONALES Y EMPRENDIMIENTO</t>
  </si>
  <si>
    <t xml:space="preserve">ADMINISTRACIÓN E INNOVACIÓN GUBERNAMENTAL </t>
  </si>
  <si>
    <t xml:space="preserve">DEPARTAMENTO DE PATRIMONIO </t>
  </si>
  <si>
    <t>RECURSOS HUMANOS/ MANTENIMIENTO INTERNO</t>
  </si>
  <si>
    <t>PROVEEDURÍA / COMPRAS GENERALES/ UNIDAD DE ABASTOS Y SUMINISTROS</t>
  </si>
  <si>
    <t>SERVICIOS MEDICOS MUNICIPALES</t>
  </si>
  <si>
    <t>PROGRAMAS ESTRATEGICOS</t>
  </si>
  <si>
    <t>DESCRIPCION</t>
  </si>
  <si>
    <t xml:space="preserve">OCTUBRE 2025 - SEPTIEMBRE 2026	</t>
  </si>
  <si>
    <t xml:space="preserve">PROGRAMA EDURUTAS ZAPOTLANEJO </t>
  </si>
  <si>
    <t>SEGUIMIENTO DE LOS PROGRAMAS ESPECIALES</t>
  </si>
  <si>
    <t>comprobar que los estudiantes beneficiados realmente utilizan el transporte público en el municipio y cumplen con los requisitos de elegibilidad establecidos por el ayuntamiento.</t>
  </si>
  <si>
    <t>COMPROBAR QUE LOS ESTUDIANTES BENEFICIADOS REALMENTE UTILIZAN EL TRANSPORTE PÚBLICO EN EL MUNICIPIO Y CUMPLEN CON LOS REQUISITOS DE ELEGIBILIDAD ESTABLECIDOS POR EL AYUNTAMIENTO.</t>
  </si>
  <si>
    <t>ACCESIBILIDAD Y COBERTURA/TRANSPARENCIA Y CONTROL/ IMPACTO EN LA PERMANECIA ESCOLAR/SOSTENIBILIDAD FINANCIERA/COMUNICACIÓN Y PARTICIPACION.</t>
  </si>
  <si>
    <t>ULTIMA ACTUALIZACIÓN</t>
  </si>
  <si>
    <t>PROGRAMAS SOCIALES, DEPARTAMENTO DE EDUCACIÓN,INSTITUTO DE LA JUVENTUD, INSTITUTO DE IGUALDAD SUSTANTIVA, DEPARTAMENTO DE DESARROLLO ECONOMICO, DEPARTAMENTO DE DESARROLLO RURAL.</t>
  </si>
  <si>
    <t xml:space="preserve">GOBIERNO DE ZAPOTLANEJO </t>
  </si>
  <si>
    <t>ACCIONES</t>
  </si>
  <si>
    <t>PROMEDIO ACTUAL DE ALUMNOS BENEFICIADOS DIARIAMENTE CON EL PROGRAMA</t>
  </si>
  <si>
    <t>ESPECTATIVA PROMEDIO DE ALUMNOS BENEFICIADOS EN ESTE PERIODO</t>
  </si>
  <si>
    <t>ALUMNOS BENEFICIADOS CONSTANTEMENTE  EN ESTE PERIODO ADMINISTRATIVO</t>
  </si>
  <si>
    <t>PROGRAMA REACTIVACION DEL CAMPO 2025</t>
  </si>
  <si>
    <t>PROGRAMAS SOCIALES ENFOCADOS A PROMOVER EL DESARROLLO SOCIAL DE LOS HABITANTES DE ZAPOTLANEJO</t>
  </si>
  <si>
    <t xml:space="preserve">FAMILIAS BENEFICIADAS CON ALGUN TIPO DE APOYO </t>
  </si>
  <si>
    <t>ESPECTATIVA PROMEDIO DE FAMILIAS BENEFICIADAS</t>
  </si>
  <si>
    <t>PROMEDIO ACTUAL DE FAMILAS BENEFICIADAS</t>
  </si>
  <si>
    <t>MALA DISPERCION DE APOYOS A BENEFICIADOS/FALTA DE CAMPAÑAS DE  DIFUSION DE APOYOS/ACCESIBILIDAD Y COBERTURA/SOSTENIBILIDAD FINANCIERA.</t>
  </si>
  <si>
    <t>PUBLICACION EN EL APARTADO CIMTRA  (PROGRAMAS SOCIALES MUNICIPALES Y ESTATALES APLICADOS)</t>
  </si>
  <si>
    <t>PROGRAMAS ENFOCADOS AL EMPODERAMIENTO DE LA MUJER POR MEDIO DE LA IGUALDAD SUSTANTIVA</t>
  </si>
  <si>
    <t xml:space="preserve">MUJERES BENEFICIADAS CON ALGUN TIPO DE APOYO </t>
  </si>
  <si>
    <t>MUJERES  DEL MUNICIPIO BENEFICIADAS CON EL PROGRAMA</t>
  </si>
  <si>
    <t xml:space="preserve">TOTAL DE MUJERES BENEFICIADAS AL TERMINO DEL AÑO </t>
  </si>
  <si>
    <t>PROGRAMAS QUE PROMUEVAN EL DESARROLLO ECONOMICO ENTRE LOS HABITANTES DEL MUNICIPIO</t>
  </si>
  <si>
    <t>COMERCIANTES BENEFICIADOS CON ALGUN TIPO DE APOYO QUE PROMUEVA EL DESARROLLO ECONOMICO DEL MUNICIPIO</t>
  </si>
  <si>
    <t>COMERCIANTES  DEL MUNICIPIO BENEFICIADOS CON EL PROGRAMA</t>
  </si>
  <si>
    <t>TOTAL DE COMERCIANTES BENEFICIADOS ESTE PERIODO ADMINISTRATIVO</t>
  </si>
  <si>
    <t>BENEFICIAR A UN APROXIMADO DE 40 COMERCIANTES Y SUS FAMILIAS CON ALGUN TIPO DE APOYO QUE PROMUEVA EL DESARROLLO ECONOMICO.</t>
  </si>
  <si>
    <t>PROGRAMAS SOCIALES ENFOCADOS A APOYAR A COMERCIANTES DEL MUNICIPIO.</t>
  </si>
  <si>
    <t>INEGI/SECRETARIA DE EDUCACION JALISCO</t>
  </si>
  <si>
    <t xml:space="preserve">TASA DE DESERCIÓN ESCOLAR A NIVEL MEDIA SUPERIOR EN ZAPOTLANEJO </t>
  </si>
  <si>
    <t xml:space="preserve">TASA ESTIMADA DE DESERSIÓN ESCOLAR A NIVEL MEDIA SUPERIOR </t>
  </si>
  <si>
    <t>TASA DE DECERSION ESCOLAR A NIVEL MEDIO SUPERIOR EN EL 2025</t>
  </si>
  <si>
    <t xml:space="preserve">TENER UNA TASA DE DESERCION ESCOLAR MENOR O IGUAL AL 8% </t>
  </si>
  <si>
    <t>EL MUNICIPIO CUENTA CON UNA TASA DE DESERCION ESCOLAR A NIVEL MEDIO SUPERIOR MENOR O IGUAL AL 8% EN COMPARATIVA AL ESTADO</t>
  </si>
  <si>
    <t>PROMEDIO ESTATAL POBLACIÓN NO ECONOMINCAMENTE ACTIVA EN JALISCO PARA EL 2025</t>
  </si>
  <si>
    <t>CONTAR CON UN PORCENTAJE DE  POBLACION ECONOMICAMENTE NO ACTIVA MENOR ENTRE EL MUNICIPIO Y EL ESTADO DE JALISCO</t>
  </si>
  <si>
    <t>POBLACION ECONOMICAMENTE NO ACTIVA DE ZAPOTLANEJO EN EL ULTIMO PERIODO</t>
  </si>
  <si>
    <t>CONTAR CON UN PROMEDIO DE POBLACION ECONOMICAMENTE NO ACTIVA  MENOR AL PROMEDIO ESTATAL</t>
  </si>
  <si>
    <t>INDICE DE MARGINACIÓN MUNICIPAL</t>
  </si>
  <si>
    <t>CONAPO</t>
  </si>
  <si>
    <t>INDEFINIDA</t>
  </si>
  <si>
    <t xml:space="preserve">PROYECCION DE INDICE DE MARGINACION MUNICIPAL </t>
  </si>
  <si>
    <t>MUY BAJO</t>
  </si>
  <si>
    <t>INDICE DE MARGINACION MUNICIPAL ACTUAL</t>
  </si>
  <si>
    <t>SECRETARIA DE ECONOMIA</t>
  </si>
  <si>
    <t xml:space="preserve"> CALIDAD DE VIDA EN ZAPOTLANEJO PREVISTA EN LA ACTUALDAD SEGÚN INFORMACION DE LA SECRETARIA DE ECONOMIA</t>
  </si>
  <si>
    <t>CALIDAD DE VIDA ACTUAL EN EL MUNICIPIO DE ZAPOTLANEJO</t>
  </si>
  <si>
    <t>BUENA/MODERADA</t>
  </si>
  <si>
    <t>EJE 3 SALUD BIENESTAR EDUCACIÓN Y COHESIÓN SOCIAL DE ZAPOTLANEJO</t>
  </si>
  <si>
    <t>JALISCO ECONOMIA QUE AVANZA</t>
  </si>
  <si>
    <t>ECONOMIA GLOBAL Y TRABAJO</t>
  </si>
  <si>
    <t>FEBRERO 2026</t>
  </si>
  <si>
    <t xml:space="preserve">CONTAR CON UN INDICE DE MARGINACION EN EL MUNICIPIO MUY BAJO </t>
  </si>
  <si>
    <t>QUE EL MUNICIPIO DE ZAPOTLANEJO CUENTE CON UN INDICE DE MARGINACIÓN MUY BAJO</t>
  </si>
  <si>
    <t xml:space="preserve">ENOE </t>
  </si>
  <si>
    <t>EL MUNCIPIO CUENTA CON UN PROMEDIO DE POBLACION ECONOMICAMENTE NO ACTIVA MENOR O IGUAL  AL 40%</t>
  </si>
  <si>
    <t>BENEFICIAR A MÁS DE 600 MUJERES  DEL MUNICIPIO CON ALGUN TIPO DE CARENCIA SOCIAL</t>
  </si>
  <si>
    <t>PROGRAMAS SOCIALES ENFOCADOS A EMPODERAR A LAS MUJERES DEL MUNICIPIO BUSCANDO BENEFICIAR A MÁS DE 600 PERSONAS.</t>
  </si>
  <si>
    <t>BENEFICIAR A MÁS DE 1200 HABITANTES DEL MUNICIPIO CON ALGUN TIPO APOYO AL SECTOR AGRICOLA O GANADERO</t>
  </si>
  <si>
    <t xml:space="preserve">PROGRAMAS SOCIALES ENFOCADOS AL DESARROLLO ECONOMICO RURAL QUE  HA BENEFICIADO A MÁS DE 1200 HABITANTES QUE SE DEDICAN A LA PRODUCTIVIDAD DEL CAMPO </t>
  </si>
  <si>
    <t xml:space="preserve">BENEFICIAR  A UN PROMEDIO DE  105 BENEFICIADOS </t>
  </si>
  <si>
    <t>BENEFICIAR  A UN PROMEDIO DE  1000 ESTUDIANTES CON APOYO DE TRANSPORTE GRATIS EN TODO SU CICLO ESCOLAR</t>
  </si>
  <si>
    <t>RESULTADOS</t>
  </si>
  <si>
    <t>ULTIMA ACTUALIZACION</t>
  </si>
  <si>
    <t>GOBIERNO DE ZAPOTLANEJO</t>
  </si>
  <si>
    <t>PRESIDENCIA,SECRETARIA PARTICULAR,JEFATURA DE ASUNTOS DEL INTERIOR
DIRECCIÓN DE GESTIÓN DE PROYECTOS FEDERALES Y ESTATALES,DIRECCIÓN DE TRANSPARENCIA,DIRECCIÓN DE COMUNICACIÓN,UNIDAD DE RELACIONES PUBLICAS,UNIDAD DE IMAGEN INSTITUCIONAL</t>
  </si>
  <si>
    <t>S/R</t>
  </si>
  <si>
    <t>SINDICATURA,DIRECCIÓN JURÍDICA MUNICIPAL,JEFATURA JURÍDICO LABORAL,UNIDAD ,JURIDICO LABORAL,UNIDAD DE DERECHOS HUMANOS,SUBDIRECCION JURIDICA DE HONOR Y JUSTICIA,JUZGADO MUNICIPAL,UNIDAD DE PREVENCIÓN SOCIAL,DIRECCION JURIDICA DE SEGURIDAD</t>
  </si>
  <si>
    <t>SESNSP</t>
  </si>
  <si>
    <t xml:space="preserve">TENDENCIA TOTAL DE DELITOS DENUNCIADOS ESTE PERIODO EN COMPARATIVA CON EL AÑO ANTERIOR </t>
  </si>
  <si>
    <t>TASA DE DISMINUCION EN CUESTION DE  DELITOS DENUNCIADOS</t>
  </si>
  <si>
    <t>TASA DISMINUIDA EN EL PERIODO EN CURSO</t>
  </si>
  <si>
    <t>S/D</t>
  </si>
  <si>
    <t>SECRETARIA GENERAL,DELEGACIÓN MATATLAN,DELEGACIÓN LA LAJA,DELEGACIÓN SANTA FE,
DELEGACIÓN LA PURISIMA,DELEGACIÓN EL SAUCILLO,DELEGACIÓN SAN JOSÉ DE LAS FLORES,DIRECCIÓN DE REGISTRO CIVIL,JEFATURA DE ARCHIVO MUNICIPAL
JEFATURA DE INSPECCIÓN Y VIGILANCIA,JEFATURA DE MEDIO AMBIENTE,JEFATURA DE CEMENTERIOS.</t>
  </si>
  <si>
    <t>ENTORNO SEGURO Y ORDENADO</t>
  </si>
  <si>
    <t>JALISCO CUIDA SU TIERRA</t>
  </si>
  <si>
    <t>EJE 1 . JUSTICIA SEGURIDAD Y PAZ SOCIAL</t>
  </si>
  <si>
    <t>OBJETIVO 11. CIUDADES Y COMUNIDADES SOSTENIBLES</t>
  </si>
  <si>
    <t>REPUBLICA SEGURA Y CON JUSTICIA</t>
  </si>
  <si>
    <t>GARANTIZAR ESPACIOS PÚBLICOS FUNCIONALES, SEGUROS Y DIGNOS PARA TODOS LOS CIUDADANOS</t>
  </si>
  <si>
    <t>EFICIENCIA DEL PROGRAMA 360 ENFOCADO A LA PREVENCION DE RIESGOS</t>
  </si>
  <si>
    <t>GRADO DE EFICIENCIA ESPERADO  DEL PROGRAMA</t>
  </si>
  <si>
    <t>METAS CUMPLIDAS EN EL PROGRAMA OPERATIVO DE PROTECCION CIVIL</t>
  </si>
  <si>
    <t>RIESTOS ATENDIDOS DE MANERA ANORMAL A LO PRONOSTICADO ANUALMENTE</t>
  </si>
  <si>
    <t>EFICIENCIA ACTUAL DEL PROGRAMA</t>
  </si>
  <si>
    <t xml:space="preserve">CONTAR CON UN INSTRUMENTO DE PLANEACION ACTUALIZADO </t>
  </si>
  <si>
    <t>SE CUENTA CON UN PLAN DE RIESGOS MUNICIPAL ACTUALIZADO</t>
  </si>
  <si>
    <t>GACETA MUNICIPAL</t>
  </si>
  <si>
    <t>CONTAR CON UN INSTRUMENTO ACTUALIZADO</t>
  </si>
  <si>
    <t>SE CUENTA CON UN INSTRUMENTO ACTUALIZADO EN MATERIA DE PREVENCION DE RIESGOS</t>
  </si>
  <si>
    <t>ESTATUS DEL INSTRUMENTO DE PREVENCION DE RIESGOS</t>
  </si>
  <si>
    <t>PUBLICADO EN LA GACETA MUNICIPAL</t>
  </si>
  <si>
    <t>FALTA DE SEGUIMIENTO A SU PROTOCOLO DE PREVENCION DE RIESGOS</t>
  </si>
  <si>
    <t>EN PROCESO</t>
  </si>
  <si>
    <t>EN EL PERIODO EN CURSO SE CUENTA CON UN INSTRUMENTO ACTUALIZADO EN MATERIA DE PREVNECION DE RIESGOS</t>
  </si>
  <si>
    <t>OPERTIVOS PARA SALVAGUARDAR LA VIDA E INTEGRIDAD DE LAS PERSONAS</t>
  </si>
  <si>
    <t>OPERATIVOS PREVENTIVOS REALIZADOS A LO LARGO DEL AÑO</t>
  </si>
  <si>
    <t>AVANCE A LA META DE OPERATIVOS PREVENTIVOS ESPECIFICA A ESTE RUBRO</t>
  </si>
  <si>
    <t>EFICIENCIA DEL PROGRAMA DE CAPACITACION EN MATERIA DE PROTECCION CIVIL</t>
  </si>
  <si>
    <t>PORCENTAJE DE AVANCE A LA META DE CPACITACIONES EN MATERIA DE PROTECCION CIVIL IMPARTIDO A LA CIUDADANIA</t>
  </si>
  <si>
    <t>DICTAMENES DE PROTECCION CIVIL REALIZADOS A LO LARGO DEL PERIODO E TURNO</t>
  </si>
  <si>
    <t>DICTAMENES REALIZADOS</t>
  </si>
  <si>
    <t>TOTAL DE DICTAMENES REALIZADOS A LO LARGO DEL AÑO</t>
  </si>
  <si>
    <t>FALTA DE VOLUNTADES ENTRE SOCIEDAD Y GOBIERNO PARA EFECTUAR ESTE TIPO DE ACCIONES</t>
  </si>
  <si>
    <t>SEGUIMIENTO DE ACCIONES DE MITIGACION DE RIESTOS ATENDIDAS POR PARTE DE PROTECCION CIVIL Y BOMBEROS</t>
  </si>
  <si>
    <t>ACCIONES DE MITIGACION DE RIESGOS ATENIDAS</t>
  </si>
  <si>
    <t>TOTAL DE ACCIONES ATENDIDAS EN ATERIA DE PREVENCION DE RIESGOS</t>
  </si>
  <si>
    <t>CAPACITACITACIONES A POBLACION EN GENERAL EN MATERIA DE PROTECCION CIVIL Y PREVENCION DE RIESGOS</t>
  </si>
  <si>
    <t>CAPACITACIONES REALIZADAS EN MATERIA DE PREVENCION DE RIESGOS</t>
  </si>
  <si>
    <t>PROTECCION CIVIL</t>
  </si>
  <si>
    <t>,DIRECCIÓN DE PROTECCIÓN CIVIL Y BOMBEROS</t>
  </si>
  <si>
    <t>GABINETE,JEFATURA DE GESTIÓN DE CALIDAD,JEFATURA DE VINCULACION METROPOLITANA</t>
  </si>
  <si>
    <t>PORCENTAJE DE PROGRAMAS MUNICIPALES CON EVALUACIÓN DE RESULTADOS PUBLICADA Y ACCESIBLE A LA CIUDADANÍA.</t>
  </si>
  <si>
    <t>PAGINA OFICIAL DE GOBIERNO</t>
  </si>
  <si>
    <t>% DE PROGRAMAS EVALUADOS</t>
  </si>
  <si>
    <t>PERIODO DE EVALUACION (RESULTADOS PREVISOS EN MARZO 2026)</t>
  </si>
  <si>
    <t>% PROGRAMAS EVALUADOS</t>
  </si>
  <si>
    <t xml:space="preserve">PORCENTAJE DE PROGRAMAS EVALUADOS </t>
  </si>
  <si>
    <t>SEGUIMIENTO DE LAS MIRS Y POAS ASI COMO SU EVALUACION</t>
  </si>
  <si>
    <t xml:space="preserve">FALTA DE SEGUIMIENTO DE LOS PROGRAMAS DATOS INCOMPLETOS </t>
  </si>
  <si>
    <t>% CUMPLIMIENTO  DE ACTUALIZACION DE  LAS HERRAMIENTAS DE PLANEACION</t>
  </si>
  <si>
    <t>% SEGUIMIENTO DE ACCIONES DEL SM</t>
  </si>
  <si>
    <t xml:space="preserve"> ELEVAR LA CALIDAD EN LOS PROCESOS Y SERVICIOS INSTITUCIONALES POR MEDIO DE HERRAMIENTAS QUE POTENCIALICEN EL DESARROLLO ADMINISTRATIVO-OPERATIVO DEL AYUNTAMIENTO MUNICIPAL EN BUSCA DE LA MEJORA CONTINUA.</t>
  </si>
  <si>
    <t>GENERAR INFORMACIÓN CLARA Y VERAS PARA LA TOMA DE DESICIONES EN LA PLANEACION MUNICIPAL.</t>
  </si>
  <si>
    <t xml:space="preserve"> CONTAR CON UNA REPRESENTACION DIGNA Y PROFESIONAL EN TODOS LOS ESPACIOS DE TRABAJO COLABORATIVAS, CON OTRAS INSTITUCIONES Y DEMAS DEPENDENCIAS GUBERNAMENTALES PARA  CANALIZAR ESTRATEGIAS A LAS ARES TECNICAS ESPECIALIZADAS.</t>
  </si>
  <si>
    <t>IMPULSAR EL DESARROLLO DE PROYECTOS DE ALTO IMPACTO CON VIAS A CONVERTIRSE EN POLITICAS PÚBLICAS POR MEDIO DEL TRABAJO COLABORATIVO ENTRE LAS PARTES INTERESADAS QUE CONFORMAN LA ADMINISTRACIÓN LOCAL.</t>
  </si>
  <si>
    <t>FOMENTAR LA EFICIENCIA DE TRAMITES Y SERVICIOS QUE OFRECE EL GOBIERNO DE ZAPOTLANEJO</t>
  </si>
  <si>
    <t>BUSCAR EL DESARROLLO INSTITUCIONAL POR MEDIO DE HERRAMIENTAS QUE POTENCIALICEN LA EFICIENCIA DE LOS PRODUCTOS Y /O SERVICIOS QUE OFRECE EL AYUNTAMIENTO</t>
  </si>
  <si>
    <t>FUNDAMENTAR DE MANERA VERAS Y EFICIENTE LAS ACCIONES QUE REALIZA EL GIBIERNO MUNICIPAL</t>
  </si>
  <si>
    <t>TRABAJOS DE VINCULACIÓN ENTRE LA AMG Y EL GOBIERNO MUNICIPAL</t>
  </si>
  <si>
    <t>GESTIONAR RECURSOS ANTE INSTANCIAS ESTATALES Y FEDERALES PARA LA IMPLEMENTACIÓN DE PROGRAMAS DE ALTO IMPACTO</t>
  </si>
  <si>
    <t>TRABAJOS COLABORATIVOS ENTRE LAS PARTES INTERNAS EL GOBIERNO LOCAL QUE PROMUEVAN LA EFICIENCIA DE LOS PRODUCTOS Y / O SERVICIOS QUE OFRECE EL AYUNTAMIENTO (TRAMITES)</t>
  </si>
  <si>
    <t>HERRAMIENTAS ACTUALIZADAS CONFORME LAS OBLIGACIONES EN TEMAS DE PLANEACION Y TRANSPARENICA</t>
  </si>
  <si>
    <t>SE CUENTA CON 100% DE LOS ELEMENTOS DE PLANEACIÓN PUBLICADOS Y ACTUALIZADOS</t>
  </si>
  <si>
    <t>SMRG</t>
  </si>
  <si>
    <t>NÚMERO TOTAL DE ACTUALIZACIÓNES REALIZADAS A LA BASE DE DATOS DEL RMRG</t>
  </si>
  <si>
    <t>NÚMERO TOTAL DE SUPERVICIONES EN CAMPO REALIZADAS AL SMRG</t>
  </si>
  <si>
    <t>IMPULSAR UNA GESTIÓN PÚBLICA DE CALIDAD, EN APEGO A LAS NORMAS Y DISPOSICIONES LEGALES APLICABLES, PARA CONTRIBUIR CON LA TRANSPARENCIA Y RENDICIÓN DE CUENTAS A LOS CIUDADANOS.</t>
  </si>
  <si>
    <t>"PLANEAR, PROGRAMAR, ORGANIZAR Y COORDINAR LAS ACCIONES DE CONTROL, EVALUACIÓN, VIGILANCIA Y FISCALIZACIÓN DEL CORRECTO USO DEL PATRIMONIO, SU CONGRUENCIA CON EL PRESUPUESTO DE EGRESOS DEL MUNICIPIO, ASÍ COMO EL DESEMPEÑO DE LOS SERVIDORES PÚBLICOS
"</t>
  </si>
  <si>
    <t>ORGANO INTERNO DE CONTROL,JEFATURA DE RESPONSABILIDADES,JEFATURA DE AUDITORIA DE OBRAS PUBLICAS</t>
  </si>
  <si>
    <t>"VERIFICAR, COMPROBAR, FISCALIZAR QUE LA OBRA PÚBLICA DEL MUNICIPIO CUMPLA CON  LAS NORMATIVAS APLICABLES VIGENTES, Y EMITIR OBSERVACIONES Y RECOMENDACIONES CUANDO SEA EL CASO QUE LO AMERITE, ASÍ COMO COADYUVAR A LAS INSTITUCIONES HOMOLOGAS A LA CONTRALORÍA CIUDADANA."</t>
  </si>
  <si>
    <t>Porcentaje de auditorías y evaluaciones realizadas respecto al total de programas y recursos municipales sujetos a control.</t>
  </si>
  <si>
    <t>PORCENTAJE DE AUDITORÍAS Y EVALUACIONES REALIZADAS RESPECTO AL TOTAL DE PROGRAMAS Y RECURSOS MUNICIPALES SUJETOS A CONTROL.</t>
  </si>
  <si>
    <t>% DE CUMPLIMIENTO</t>
  </si>
  <si>
    <t>% ACATADO</t>
  </si>
  <si>
    <t>SE CUENTA CON REGLAMENTO VIGENTE DE ACUERDO A LAS DISPOCIONES NORMATIVAS ACTUALES</t>
  </si>
  <si>
    <t xml:space="preserve">"CONTAR CON UN REGLAMENTO MUNICIPAL DE COMBATE A LA CORRUPCIÓN VIGENTE"
</t>
  </si>
  <si>
    <t>"CONTAR CON UN REGLAMENTO MUNICIPAL DE COMBATE A LA CORRUPCIÓN VIGENTE"</t>
  </si>
  <si>
    <t>SEGUIMIENTO A LAS SANCIONES GENERADAS EN EL AÑO</t>
  </si>
  <si>
    <t>SANCIONES FINIQUITADAS (INCLUIDOS DE PERIODOS PASADOS)</t>
  </si>
  <si>
    <t>DESARROLLAR ESTRATEGIAS TRASCENDENTALES PARA EVITAR AL MAXIMO LOS CASOS DE CORRUPCION DENTRO DEL AYUNTAMIENTO.</t>
  </si>
  <si>
    <t>SEGUIMIENTO A SANCIONES POR  RESPONSABILIDADES ADMINISTRATIVAS</t>
  </si>
  <si>
    <t>FOMENTAR DENTRO DE LA INSTITUCION LA RENDICION DE CUENTAS EN APEGO A LAS LEYES APLICABLES</t>
  </si>
  <si>
    <t>DECLARACIONES PATRIMONIALES Y DE CONFLICTO DE INTERÉS REALIZADAS POR LOS SUJETOS OBLIGADOS</t>
  </si>
  <si>
    <t>AUDITORÍAS EN MATERIA FINANCIERA Y OBRA PÚBLICA</t>
  </si>
  <si>
    <t xml:space="preserve"> Acuerdos de desarrollo generados por el Consejo de Ética, Conducta y Conflicto de Interés</t>
  </si>
  <si>
    <t xml:space="preserve"> ACUERDOS DE DESARROLLO GENERADOS POR EL CONSEJO DE ÉTICA, CONDUCTA Y CONFLICTO DE INTERÉS</t>
  </si>
  <si>
    <t>ORGANO INTERNO DE CONTROL</t>
  </si>
  <si>
    <t>COORDINACION DESARROLLO ECONOMICO,UNIDAD DE PROYECTOS ESPECIALES,JEFATURA DE PROMOCION ECONOMICA,JEFATURA DE DESARROLLO RURAL,UNIDAD DE PROYECTOS DE DESARROLLO DEL CAMPO</t>
  </si>
  <si>
    <t xml:space="preserve">FORTALECER A LOS DIVERSOS SECTORES PRODUCTIVOS DEL MUNICIPIO, GENERAR FUENTES DE EMPLEO, PROMOVER LA INVERSIÓN, FOMENTAR LA CAPACITACIÓN Y MEJORA DE LAS CONDICIONES DEL COMERCIO ACTUAL, COADYUVAR EN LA PRODUCTIVIDAD DE LAS EMPRESAS, EXPLOTAR DE MANERA SUSTENTABLE LOS ATRACTIVOS TURÍSTICOS DEL MUNICIPIO Y CONTRIBUIR A ELEVAR LA CALIDAD DE VIDA DE LOS HABITANTES DEL MUNICIPIO DE ZAPOTLANEJO.
</t>
  </si>
  <si>
    <t xml:space="preserve"> POSICION ESTATAL DE ZAPOTLANEJO  EN EL ÍNDICE DE DESARROLLO ECONÓMICO MUNICIPAL (IDEM)</t>
  </si>
  <si>
    <t>LUGAR PREVISTO</t>
  </si>
  <si>
    <t xml:space="preserve">POSICIÓN EN EL RANKING ESTATAL </t>
  </si>
  <si>
    <t>FOMENTAR EL DESARROLLO Y LA EJECUCIÓN DE PROGRAMAS SOCIALES ESTRATÉGICOS QUE IMPULSEN EL DESARROLLO DE LA INNOVACIÓN SOCIAL RESPONSABLE E INCLUYENTE, PARA GARANTIZAR UN CRECIMIENTO EQUITATIVO, EQUILIBRADO Y SUSTENTABLE PARA LA POBLACIÓN DE TODAS LAS ZONAS DEL MUNICIPIO.</t>
  </si>
  <si>
    <t>PORCENTAJE DE PROGRAMAS SOCIALES ESTRATÉGICOS CON COBERTURA EFECTIVA EN ZONAS PRIORITARIAS DEL MUNICIPIO</t>
  </si>
  <si>
    <t>% PROGRAMAS CON COBERTURA EFECTIVA EN ZONAS PRIORITARIAS</t>
  </si>
  <si>
    <t>NUMERO DE PROGRAMAS SOCIALES IMPLEMENTADOS EN ZONAS PRIORITARIAS / TOTAL DE PROGRAMAS SOCIALES  ESTRATEGICOS X 100</t>
  </si>
  <si>
    <t>EVALUACION DE LOS PROGRAMS SOCIALES EJECUTADOS EN EL PERIODO</t>
  </si>
  <si>
    <t>DISPONIBILIDAD DE INFORMACION CONFIABLE, CAPACIDAD INSTITUCIONAL,PARTICIPACION CIUDADANA</t>
  </si>
  <si>
    <t xml:space="preserve">PROMOVER EL DESARROLLO ECONÓMICO SOSTENIDO, GENERANDO UN CONTEXTO PROPICIO PARA LA COMPETITIVIDAD E INNOVACIÓN EN LOS SECTORES PRODUCTIVOS DEL MUNICIPIO MEDIANTE EL IMPULSO DE LA INVERSIÓN E INFRAESTRUCTURA, ASÍ COMO UNA NUEVA CULTURA EMPRESARIAL, POTENCIANDO LA DIVERSIDAD Y VOCACIÓN DE CADA SECTOR ECONÓMICO, EN CONDICIONES DE SUSTENTABILIDAD PARA EL BENEFICIO DE LOS ZAPOTLANEJENSES. </t>
  </si>
  <si>
    <t>NUEVOS GIROS DE UNIDADES ECONOMICAS REGISTRADAS EN PADRON Y LICENCIAS MUNICIPAL</t>
  </si>
  <si>
    <t>BASE DE DATOS INTERNA DE PADRON Y LICENCIAS</t>
  </si>
  <si>
    <t xml:space="preserve">NUEVAS UNIDADES ECONOMICAS PREVISTAS EN ESTE PERIODO </t>
  </si>
  <si>
    <t>UNIDADES ECONOMICAS REGISTRADAS EN EL PERIODO</t>
  </si>
  <si>
    <t>NUEVAS UNIDADES ECONOMICAS REGISTRADAS EN EL PADRON</t>
  </si>
  <si>
    <t>SISTEMA INTERNO DE PADRON Y LICENCIAS</t>
  </si>
  <si>
    <t>CRISIS ECONOMICA, FALTA DE OPORTUNIDADES A EMPRENDEDORES</t>
  </si>
  <si>
    <t>POTENCIALIZAR LOS ATRACTIVOS TURÍSTICOS A TRAVÉS DEL DESARROLLO INTEGRAL Y SUSTENTABLE DE LA OFERTA TURÍSTICA COMERCIAL, CULTURAL, RELIGIOSA, HISTÓRICA Y GASTRONÓMICA DEL MUNICIPIO, MEDIANTE UNA ESTRATEGIA DE PROFESIONALIZACIÓN Y PROMOCIÓN, CUIDANDO LA IMAGEN, SERVICIO, ATENCIÓN, ENTRETENIMIENTO E INFORMACIÓN CONSTANTE, CON EL PROPÓSITO CONTRIBUIR AL DESARROLLO ECONÓMICO DEL MUNICIPIO.</t>
  </si>
  <si>
    <t>PORCENTAJE DE INCREMENTO EN EL FLUJO DE VISITANTES TURÍSTICOS AL MUNICIPIO EN EL MACRO EVENTO ESTELAR ( EVENTO MONITOREADO) LA CATRINA</t>
  </si>
  <si>
    <t>DATOS ESTIMADOS SEGÚN AFOROS VEHICULARES Y PROMEDIO DE PERSONAS POR METRO CUADRADO EN HORAS PICO DEL EVENTO</t>
  </si>
  <si>
    <t>% INCREMENTO PREVISTO  DE VISITANTES  EN ESTE EVENTO</t>
  </si>
  <si>
    <t>% DE CRECIMIENTO</t>
  </si>
  <si>
    <t>LA TASA DE CRECIMIENTO DEL FLUJO DE TURISTAS ES MAYOR AL 3%</t>
  </si>
  <si>
    <t>PROGRAMAS DE ALTO IMPACTO QUE PROMUEVAN EL TURISMO MUNICIPAL</t>
  </si>
  <si>
    <t>META DE PROGRAMAS A IMPLEMENTAR EN EL PERIODO ACTUAL</t>
  </si>
  <si>
    <t xml:space="preserve">CUMPLIR CON LA META DE PROGRAMAS QUE PROMUEVAN EL TURISMO EN EL MUNICIPIO </t>
  </si>
  <si>
    <t>ESTRATEGIAS DE PROMOCION DEFICIENTES</t>
  </si>
  <si>
    <t>EFICIENCIA EN EL SEGUIMIENTO DEL SRMG</t>
  </si>
  <si>
    <t>GENERAR E IMPLEMENTAR DE FORMA INNOVADORA Y OPORTUNA ESTRATÉGICA EL DESARROLLO ECONÓMICO CON GRAN IMPACTO SOCIAL; CRITERIOS DE FACTIBILIDAD Y PERTINENCIA, INVOLUCRANDO TANTO RECURSOS PÚBLICOS COMO APORTACIONES PRIVADAS PARA LA INCUBACIÓN Y DESARROLLO DE PROYECTOS QUE GENEREN EMPLEO Y OPORTUNIDADES DE DESARROLLO A LA POBLACIÓN.</t>
  </si>
  <si>
    <t>EVENTOS QUE PROMUEVAN EL DESARROLLO ECONOMICO Y RURAL DEL MUNICIPIO</t>
  </si>
  <si>
    <t xml:space="preserve">META DE PROGRAMAS A IMPLEMENTAR EN EL PERIODO </t>
  </si>
  <si>
    <t xml:space="preserve"> PROGRAMAS A IMPLEMENTADOS EN EL PERIODO ACTUAL</t>
  </si>
  <si>
    <t xml:space="preserve">CUMPLIR CON LA META DE PROGRAMAS QUE PROMUEVAN EL DESARROLLO ECONOMICO </t>
  </si>
  <si>
    <t>PROMOVER Y FOMENTAR EL DESARROLLO TURÍSTICO EN EL MUNICIPIO , CUIDANDO EL ÓPTIMO Y RACIONAL APROVECHAMIENTO Y PRESERVACIÓN DE LOS RECURSOS NATURALES Y CULTURALES.</t>
  </si>
  <si>
    <t>GENERAR MAYOR BIENESTAR A LA POBLACIÓN DEL MUNICIPIO POR MEDIO DE LA DINAMIZACIÓN DE LA ECONOMÍA LOCAL</t>
  </si>
  <si>
    <t xml:space="preserve">PROGRAMAS Y EVENTOS  DE DESARROLLO ECONOMICO IMPLEMENTADOS </t>
  </si>
  <si>
    <t>ACUERDOS DE COOPERACIÓN NACIONALES E INTERNACIONALES</t>
  </si>
  <si>
    <t>FOMENTAR EL DESARROLLO RURAL EN TODO EL MUNICIPIO</t>
  </si>
  <si>
    <t>PERSONAS BENEFICIADAS EN TEMAS RELACIONADOS A LA PROMOCION Y DESARROLLO RURAL</t>
  </si>
  <si>
    <t>META PREVISTA DE PERSONAS BENEFICIADAS EN EL PERIODO EN CURSO</t>
  </si>
  <si>
    <t>PERSONAS BENEFICIADAS EN TEMAS RELACIONADOS AL DESARROLLO RURAL</t>
  </si>
  <si>
    <t>PERSONAS BENEFICIADAS CON ALGUN TEMA RELACIOADO A LA PROMOCION TURISTICA</t>
  </si>
  <si>
    <t>PERSONAS BENEFICIADAS EN EL PERIODO</t>
  </si>
  <si>
    <t>PERSONAS BENEFICIADAS EN TEMAS RELACIONADOS AL TURISMO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</si>
</sst>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5" formatCode="_-[$$-80A]* #,##0.00_-;\-[$$-80A]* #,##0.00_-;_-[$$-80A]* &quot;-&quot;??_-;_-@"/>
  </numFmts>
  <fonts count="55">
    <font>
      <sz val="12"/>
      <color theme="1"/>
      <name val="Calibri"/>
      <scheme val="minor"/>
    </font>
    <font>
      <b/>
      <sz val="18"/>
      <color theme="1"/>
      <name val="Times New Roman"/>
      <family val="1"/>
    </font>
    <font>
      <sz val="12"/>
      <name val="Calibri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1"/>
      <color theme="1"/>
      <name val="Times New Roman"/>
      <family val="1"/>
    </font>
    <font>
      <b/>
      <i/>
      <sz val="10"/>
      <color theme="1"/>
      <name val="Calibri"/>
      <family val="2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i/>
      <sz val="14"/>
      <color theme="1"/>
      <name val="Calibri"/>
      <family val="2"/>
    </font>
    <font>
      <sz val="10"/>
      <color theme="1"/>
      <name val="Calibri"/>
      <family val="2"/>
    </font>
    <font>
      <sz val="12"/>
      <color theme="1"/>
      <name val="Calibri"/>
      <family val="2"/>
      <scheme val="minor"/>
    </font>
    <font>
      <sz val="14"/>
      <color rgb="FF001D35"/>
      <name val="&quot;Google Sans&quot;"/>
    </font>
    <font>
      <b/>
      <u/>
      <sz val="18"/>
      <color theme="1"/>
      <name val="Times New Roman"/>
      <family val="1"/>
    </font>
    <font>
      <b/>
      <sz val="20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b/>
      <u/>
      <sz val="12"/>
      <color theme="1"/>
      <name val="Times New Roman"/>
      <family val="1"/>
    </font>
    <font>
      <sz val="10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b/>
      <i/>
      <u/>
      <sz val="18"/>
      <color theme="1"/>
      <name val="Times New Roman"/>
      <family val="1"/>
    </font>
    <font>
      <b/>
      <u/>
      <sz val="12"/>
      <color theme="1"/>
      <name val="Times New Roman"/>
      <family val="1"/>
    </font>
    <font>
      <b/>
      <u/>
      <sz val="12"/>
      <color theme="1"/>
      <name val="Calibri"/>
      <family val="2"/>
    </font>
    <font>
      <b/>
      <sz val="10"/>
      <color theme="1"/>
      <name val="Arial"/>
      <family val="2"/>
    </font>
    <font>
      <u/>
      <sz val="12"/>
      <color theme="1"/>
      <name val="Calibri"/>
      <family val="2"/>
    </font>
    <font>
      <sz val="10"/>
      <color theme="1"/>
      <name val="Arial"/>
      <family val="2"/>
    </font>
    <font>
      <u/>
      <sz val="12"/>
      <color theme="1"/>
      <name val="Calibri"/>
      <family val="2"/>
    </font>
    <font>
      <u/>
      <sz val="12"/>
      <color theme="1"/>
      <name val="Calibri"/>
      <family val="2"/>
    </font>
    <font>
      <i/>
      <sz val="12"/>
      <color theme="1"/>
      <name val="Calibri"/>
      <family val="2"/>
    </font>
    <font>
      <u/>
      <sz val="12"/>
      <color theme="1"/>
      <name val="Calibri"/>
      <family val="2"/>
    </font>
    <font>
      <b/>
      <sz val="12"/>
      <color rgb="FFFF0000"/>
      <name val="Calibri"/>
      <family val="2"/>
    </font>
    <font>
      <u/>
      <sz val="12"/>
      <color theme="1"/>
      <name val="Calibri"/>
      <family val="2"/>
    </font>
    <font>
      <i/>
      <sz val="10"/>
      <color theme="1"/>
      <name val="Arial"/>
      <family val="2"/>
    </font>
    <font>
      <sz val="10"/>
      <color rgb="FFC00000"/>
      <name val="Arial"/>
      <family val="2"/>
    </font>
    <font>
      <u/>
      <sz val="12"/>
      <color theme="1"/>
      <name val="Calibri"/>
      <family val="2"/>
    </font>
    <font>
      <b/>
      <sz val="72"/>
      <color theme="1"/>
      <name val="Calibri"/>
      <family val="2"/>
    </font>
    <font>
      <sz val="14"/>
      <color rgb="FF000000"/>
      <name val="-webkit-standard"/>
    </font>
    <font>
      <sz val="12"/>
      <name val="Arial"/>
      <family val="2"/>
    </font>
    <font>
      <b/>
      <sz val="18"/>
      <color theme="1"/>
      <name val="Arial"/>
      <family val="2"/>
    </font>
    <font>
      <b/>
      <sz val="20"/>
      <color theme="1"/>
      <name val="Arial"/>
      <family val="2"/>
    </font>
    <font>
      <b/>
      <sz val="28"/>
      <color theme="1"/>
      <name val="Arial"/>
      <family val="2"/>
    </font>
    <font>
      <sz val="28"/>
      <name val="Arial"/>
      <family val="2"/>
    </font>
    <font>
      <b/>
      <sz val="11"/>
      <color theme="1"/>
      <name val="AriaL"/>
      <family val="2"/>
    </font>
    <font>
      <b/>
      <sz val="12"/>
      <color theme="1"/>
      <name val="AriaL"/>
      <family val="2"/>
    </font>
    <font>
      <b/>
      <sz val="16"/>
      <color theme="1"/>
      <name val="AriaL"/>
      <family val="2"/>
    </font>
    <font>
      <b/>
      <sz val="16"/>
      <name val="AriaL"/>
      <family val="2"/>
    </font>
    <font>
      <b/>
      <u/>
      <sz val="18"/>
      <color theme="1"/>
      <name val="AriaL"/>
      <family val="2"/>
    </font>
    <font>
      <b/>
      <sz val="11"/>
      <color rgb="FF000000"/>
      <name val="AriaL"/>
      <family val="2"/>
    </font>
    <font>
      <sz val="12"/>
      <color theme="1"/>
      <name val="AriaL"/>
      <family val="2"/>
    </font>
    <font>
      <b/>
      <i/>
      <u/>
      <sz val="18"/>
      <color theme="1"/>
      <name val="AriaL"/>
      <family val="2"/>
    </font>
    <font>
      <b/>
      <i/>
      <sz val="10"/>
      <color theme="1"/>
      <name val="AriaL"/>
      <family val="2"/>
    </font>
    <font>
      <b/>
      <i/>
      <sz val="14"/>
      <color theme="1"/>
      <name val="AriaL"/>
      <family val="2"/>
    </font>
    <font>
      <b/>
      <sz val="12"/>
      <color rgb="FF000000"/>
      <name val="AriaL"/>
      <family val="2"/>
    </font>
    <font>
      <b/>
      <sz val="24"/>
      <color theme="1"/>
      <name val="Arial"/>
      <family val="2"/>
    </font>
    <font>
      <b/>
      <u/>
      <sz val="12"/>
      <color theme="1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941651"/>
        <bgColor rgb="FF941651"/>
      </patternFill>
    </fill>
    <fill>
      <patternFill patternType="solid">
        <fgColor rgb="FFD8D8D8"/>
        <bgColor rgb="FFD8D8D8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BE4D5"/>
        <bgColor rgb="FFFBE4D5"/>
      </patternFill>
    </fill>
    <fill>
      <patternFill patternType="solid">
        <fgColor rgb="FFD0CECE"/>
        <bgColor rgb="FFD0CECE"/>
      </patternFill>
    </fill>
    <fill>
      <patternFill patternType="solid">
        <fgColor rgb="FFA8D08D"/>
        <bgColor rgb="FFA8D08D"/>
      </patternFill>
    </fill>
    <fill>
      <patternFill patternType="solid">
        <fgColor theme="5"/>
        <bgColor theme="5"/>
      </patternFill>
    </fill>
    <fill>
      <patternFill patternType="solid">
        <fgColor rgb="FFC55A11"/>
        <bgColor rgb="FFC55A11"/>
      </patternFill>
    </fill>
    <fill>
      <patternFill patternType="solid">
        <fgColor rgb="FFFEF2CB"/>
        <bgColor rgb="FFFEF2CB"/>
      </patternFill>
    </fill>
    <fill>
      <patternFill patternType="solid">
        <fgColor rgb="FFFFE598"/>
        <bgColor rgb="FFFFE598"/>
      </patternFill>
    </fill>
    <fill>
      <patternFill patternType="solid">
        <fgColor rgb="FFF4B083"/>
        <bgColor rgb="FFF4B083"/>
      </patternFill>
    </fill>
    <fill>
      <patternFill patternType="solid">
        <fgColor rgb="FFFFD965"/>
        <bgColor rgb="FFFFD965"/>
      </patternFill>
    </fill>
    <fill>
      <patternFill patternType="solid">
        <fgColor rgb="FFF7CAAC"/>
        <bgColor rgb="FFF7CAAC"/>
      </patternFill>
    </fill>
    <fill>
      <patternFill patternType="solid">
        <fgColor theme="0"/>
        <bgColor rgb="FFD0CECE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BE4D5"/>
      </patternFill>
    </fill>
    <fill>
      <patternFill patternType="solid">
        <fgColor theme="0"/>
        <bgColor theme="6"/>
      </patternFill>
    </fill>
    <fill>
      <patternFill patternType="solid">
        <fgColor theme="0"/>
        <bgColor rgb="FFD9D9D9"/>
      </patternFill>
    </fill>
    <fill>
      <patternFill patternType="solid">
        <fgColor theme="0"/>
        <bgColor rgb="FF941651"/>
      </patternFill>
    </fill>
    <fill>
      <patternFill patternType="solid">
        <fgColor theme="0"/>
        <bgColor rgb="FFA8D08D"/>
      </patternFill>
    </fill>
    <fill>
      <patternFill patternType="solid">
        <fgColor rgb="FFFFC000"/>
        <bgColor rgb="FFFFFFFF"/>
      </patternFill>
    </fill>
    <fill>
      <patternFill patternType="solid">
        <fgColor rgb="FFFFC000"/>
        <bgColor rgb="FF941651"/>
      </patternFill>
    </fill>
    <fill>
      <patternFill patternType="solid">
        <fgColor rgb="FF00B050"/>
        <bgColor rgb="FFD0CECE"/>
      </patternFill>
    </fill>
    <fill>
      <patternFill patternType="solid">
        <fgColor rgb="FF00B05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FF0000"/>
        <bgColor theme="0"/>
      </patternFill>
    </fill>
    <fill>
      <patternFill patternType="solid">
        <fgColor rgb="FFFF0000"/>
        <bgColor rgb="FFD0CECE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rgb="FFC5E0B3"/>
      </patternFill>
    </fill>
  </fills>
  <borders count="99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518">
    <xf numFmtId="0" fontId="0" fillId="0" borderId="0" xfId="0"/>
    <xf numFmtId="0" fontId="5" fillId="2" borderId="12" xfId="0" applyFont="1" applyFill="1" applyBorder="1" applyAlignment="1">
      <alignment horizontal="center" vertical="center"/>
    </xf>
    <xf numFmtId="0" fontId="6" fillId="2" borderId="18" xfId="0" applyFont="1" applyFill="1" applyBorder="1" applyAlignment="1">
      <alignment horizontal="center" vertical="center" wrapText="1"/>
    </xf>
    <xf numFmtId="0" fontId="8" fillId="2" borderId="36" xfId="0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 wrapText="1"/>
    </xf>
    <xf numFmtId="0" fontId="11" fillId="0" borderId="0" xfId="0" applyFont="1"/>
    <xf numFmtId="0" fontId="12" fillId="3" borderId="0" xfId="0" applyFont="1" applyFill="1"/>
    <xf numFmtId="0" fontId="3" fillId="4" borderId="12" xfId="0" applyFont="1" applyFill="1" applyBorder="1" applyAlignment="1">
      <alignment horizontal="center" vertical="center"/>
    </xf>
    <xf numFmtId="0" fontId="7" fillId="2" borderId="42" xfId="0" applyFont="1" applyFill="1" applyBorder="1"/>
    <xf numFmtId="0" fontId="5" fillId="5" borderId="44" xfId="0" applyFont="1" applyFill="1" applyBorder="1" applyAlignment="1">
      <alignment horizontal="center" vertical="center"/>
    </xf>
    <xf numFmtId="0" fontId="5" fillId="5" borderId="18" xfId="0" applyFont="1" applyFill="1" applyBorder="1" applyAlignment="1">
      <alignment horizontal="center" vertical="center"/>
    </xf>
    <xf numFmtId="0" fontId="14" fillId="6" borderId="12" xfId="0" applyFont="1" applyFill="1" applyBorder="1" applyAlignment="1">
      <alignment horizontal="center" vertical="center"/>
    </xf>
    <xf numFmtId="165" fontId="3" fillId="2" borderId="40" xfId="0" applyNumberFormat="1" applyFont="1" applyFill="1" applyBorder="1" applyAlignment="1">
      <alignment horizontal="center" vertical="center"/>
    </xf>
    <xf numFmtId="0" fontId="5" fillId="2" borderId="42" xfId="0" applyFont="1" applyFill="1" applyBorder="1" applyAlignment="1">
      <alignment horizontal="center" vertical="center"/>
    </xf>
    <xf numFmtId="165" fontId="4" fillId="2" borderId="49" xfId="0" applyNumberFormat="1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8" fillId="8" borderId="26" xfId="0" applyFont="1" applyFill="1" applyBorder="1" applyAlignment="1">
      <alignment horizontal="center"/>
    </xf>
    <xf numFmtId="0" fontId="8" fillId="8" borderId="27" xfId="0" applyFont="1" applyFill="1" applyBorder="1" applyAlignment="1">
      <alignment horizontal="center"/>
    </xf>
    <xf numFmtId="0" fontId="8" fillId="8" borderId="28" xfId="0" applyFont="1" applyFill="1" applyBorder="1" applyAlignment="1">
      <alignment horizontal="center"/>
    </xf>
    <xf numFmtId="0" fontId="8" fillId="2" borderId="12" xfId="0" applyFont="1" applyFill="1" applyBorder="1" applyAlignment="1">
      <alignment vertical="center"/>
    </xf>
    <xf numFmtId="0" fontId="8" fillId="2" borderId="36" xfId="0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vertical="center" wrapText="1"/>
    </xf>
    <xf numFmtId="0" fontId="3" fillId="2" borderId="12" xfId="0" applyFont="1" applyFill="1" applyBorder="1" applyAlignment="1">
      <alignment horizontal="center" vertical="center"/>
    </xf>
    <xf numFmtId="0" fontId="7" fillId="9" borderId="42" xfId="0" applyFont="1" applyFill="1" applyBorder="1"/>
    <xf numFmtId="0" fontId="5" fillId="2" borderId="44" xfId="0" applyFont="1" applyFill="1" applyBorder="1" applyAlignment="1">
      <alignment horizontal="center" vertical="center"/>
    </xf>
    <xf numFmtId="0" fontId="5" fillId="2" borderId="18" xfId="0" applyFont="1" applyFill="1" applyBorder="1" applyAlignment="1">
      <alignment horizontal="center" vertical="center"/>
    </xf>
    <xf numFmtId="0" fontId="6" fillId="2" borderId="53" xfId="0" applyFont="1" applyFill="1" applyBorder="1" applyAlignment="1">
      <alignment horizontal="center" vertical="center" wrapText="1"/>
    </xf>
    <xf numFmtId="0" fontId="8" fillId="2" borderId="37" xfId="0" applyFont="1" applyFill="1" applyBorder="1" applyAlignment="1">
      <alignment horizontal="center" vertical="center"/>
    </xf>
    <xf numFmtId="0" fontId="3" fillId="10" borderId="12" xfId="0" applyFont="1" applyFill="1" applyBorder="1" applyAlignment="1">
      <alignment horizontal="center" vertical="center"/>
    </xf>
    <xf numFmtId="0" fontId="1" fillId="2" borderId="36" xfId="0" applyFont="1" applyFill="1" applyBorder="1" applyAlignment="1">
      <alignment horizontal="center" vertical="center"/>
    </xf>
    <xf numFmtId="0" fontId="1" fillId="2" borderId="56" xfId="0" applyFont="1" applyFill="1" applyBorder="1" applyAlignment="1">
      <alignment horizontal="center" vertical="center"/>
    </xf>
    <xf numFmtId="9" fontId="8" fillId="2" borderId="36" xfId="0" applyNumberFormat="1" applyFont="1" applyFill="1" applyBorder="1" applyAlignment="1">
      <alignment horizontal="center" vertical="center" wrapText="1"/>
    </xf>
    <xf numFmtId="0" fontId="10" fillId="5" borderId="12" xfId="0" applyFont="1" applyFill="1" applyBorder="1" applyAlignment="1">
      <alignment horizontal="center" vertical="center" wrapText="1"/>
    </xf>
    <xf numFmtId="49" fontId="22" fillId="12" borderId="37" xfId="0" applyNumberFormat="1" applyFont="1" applyFill="1" applyBorder="1" applyAlignment="1">
      <alignment horizontal="center" vertical="center"/>
    </xf>
    <xf numFmtId="0" fontId="7" fillId="12" borderId="59" xfId="0" applyFont="1" applyFill="1" applyBorder="1"/>
    <xf numFmtId="49" fontId="24" fillId="14" borderId="60" xfId="0" applyNumberFormat="1" applyFont="1" applyFill="1" applyBorder="1" applyAlignment="1">
      <alignment horizontal="center" vertical="center"/>
    </xf>
    <xf numFmtId="0" fontId="25" fillId="14" borderId="61" xfId="0" applyFont="1" applyFill="1" applyBorder="1"/>
    <xf numFmtId="165" fontId="7" fillId="15" borderId="62" xfId="0" applyNumberFormat="1" applyFont="1" applyFill="1" applyBorder="1" applyAlignment="1">
      <alignment horizontal="center" vertical="center"/>
    </xf>
    <xf numFmtId="0" fontId="8" fillId="13" borderId="60" xfId="0" applyFont="1" applyFill="1" applyBorder="1" applyAlignment="1">
      <alignment horizontal="center" vertical="center"/>
    </xf>
    <xf numFmtId="0" fontId="23" fillId="13" borderId="63" xfId="0" applyFont="1" applyFill="1" applyBorder="1" applyAlignment="1">
      <alignment horizontal="center" vertical="center"/>
    </xf>
    <xf numFmtId="49" fontId="26" fillId="14" borderId="64" xfId="0" applyNumberFormat="1" applyFont="1" applyFill="1" applyBorder="1" applyAlignment="1">
      <alignment horizontal="center" vertical="center"/>
    </xf>
    <xf numFmtId="0" fontId="25" fillId="14" borderId="65" xfId="0" applyFont="1" applyFill="1" applyBorder="1"/>
    <xf numFmtId="165" fontId="7" fillId="15" borderId="66" xfId="0" applyNumberFormat="1" applyFont="1" applyFill="1" applyBorder="1"/>
    <xf numFmtId="0" fontId="27" fillId="16" borderId="64" xfId="0" applyFont="1" applyFill="1" applyBorder="1" applyAlignment="1">
      <alignment horizontal="center" vertical="center"/>
    </xf>
    <xf numFmtId="0" fontId="28" fillId="16" borderId="67" xfId="0" applyFont="1" applyFill="1" applyBorder="1"/>
    <xf numFmtId="165" fontId="7" fillId="14" borderId="68" xfId="0" applyNumberFormat="1" applyFont="1" applyFill="1" applyBorder="1" applyAlignment="1">
      <alignment horizontal="center" vertical="center"/>
    </xf>
    <xf numFmtId="165" fontId="7" fillId="14" borderId="69" xfId="0" applyNumberFormat="1" applyFont="1" applyFill="1" applyBorder="1" applyAlignment="1">
      <alignment horizontal="center" vertical="center"/>
    </xf>
    <xf numFmtId="165" fontId="7" fillId="14" borderId="70" xfId="0" applyNumberFormat="1" applyFont="1" applyFill="1" applyBorder="1" applyAlignment="1">
      <alignment horizontal="center" vertical="center"/>
    </xf>
    <xf numFmtId="165" fontId="7" fillId="14" borderId="71" xfId="0" applyNumberFormat="1" applyFont="1" applyFill="1" applyBorder="1" applyAlignment="1">
      <alignment horizontal="center" vertical="center"/>
    </xf>
    <xf numFmtId="0" fontId="29" fillId="16" borderId="72" xfId="0" applyFont="1" applyFill="1" applyBorder="1" applyAlignment="1">
      <alignment horizontal="center" vertical="center"/>
    </xf>
    <xf numFmtId="0" fontId="28" fillId="16" borderId="73" xfId="0" applyFont="1" applyFill="1" applyBorder="1"/>
    <xf numFmtId="0" fontId="7" fillId="14" borderId="74" xfId="0" applyFont="1" applyFill="1" applyBorder="1"/>
    <xf numFmtId="0" fontId="7" fillId="14" borderId="75" xfId="0" applyFont="1" applyFill="1" applyBorder="1"/>
    <xf numFmtId="165" fontId="30" fillId="15" borderId="26" xfId="0" applyNumberFormat="1" applyFont="1" applyFill="1" applyBorder="1"/>
    <xf numFmtId="165" fontId="30" fillId="15" borderId="27" xfId="0" applyNumberFormat="1" applyFont="1" applyFill="1" applyBorder="1"/>
    <xf numFmtId="165" fontId="30" fillId="15" borderId="76" xfId="0" applyNumberFormat="1" applyFont="1" applyFill="1" applyBorder="1"/>
    <xf numFmtId="0" fontId="7" fillId="7" borderId="12" xfId="0" applyFont="1" applyFill="1" applyBorder="1"/>
    <xf numFmtId="49" fontId="31" fillId="14" borderId="77" xfId="0" applyNumberFormat="1" applyFont="1" applyFill="1" applyBorder="1" applyAlignment="1">
      <alignment horizontal="center" vertical="center"/>
    </xf>
    <xf numFmtId="0" fontId="25" fillId="14" borderId="78" xfId="0" applyFont="1" applyFill="1" applyBorder="1"/>
    <xf numFmtId="165" fontId="7" fillId="15" borderId="79" xfId="0" applyNumberFormat="1" applyFont="1" applyFill="1" applyBorder="1"/>
    <xf numFmtId="165" fontId="7" fillId="9" borderId="12" xfId="0" applyNumberFormat="1" applyFont="1" applyFill="1" applyBorder="1"/>
    <xf numFmtId="165" fontId="33" fillId="15" borderId="58" xfId="0" applyNumberFormat="1" applyFont="1" applyFill="1" applyBorder="1"/>
    <xf numFmtId="165" fontId="7" fillId="17" borderId="12" xfId="0" applyNumberFormat="1" applyFont="1" applyFill="1" applyBorder="1"/>
    <xf numFmtId="165" fontId="7" fillId="18" borderId="12" xfId="0" applyNumberFormat="1" applyFont="1" applyFill="1" applyBorder="1"/>
    <xf numFmtId="49" fontId="25" fillId="14" borderId="65" xfId="0" applyNumberFormat="1" applyFont="1" applyFill="1" applyBorder="1"/>
    <xf numFmtId="165" fontId="7" fillId="14" borderId="80" xfId="0" applyNumberFormat="1" applyFont="1" applyFill="1" applyBorder="1" applyAlignment="1">
      <alignment horizontal="center" vertical="center"/>
    </xf>
    <xf numFmtId="165" fontId="30" fillId="15" borderId="28" xfId="0" applyNumberFormat="1" applyFont="1" applyFill="1" applyBorder="1"/>
    <xf numFmtId="165" fontId="33" fillId="17" borderId="58" xfId="0" applyNumberFormat="1" applyFont="1" applyFill="1" applyBorder="1"/>
    <xf numFmtId="0" fontId="28" fillId="16" borderId="67" xfId="0" applyFont="1" applyFill="1" applyBorder="1" applyAlignment="1">
      <alignment wrapText="1"/>
    </xf>
    <xf numFmtId="0" fontId="34" fillId="16" borderId="64" xfId="0" applyFont="1" applyFill="1" applyBorder="1" applyAlignment="1">
      <alignment horizontal="center" vertical="center" wrapText="1"/>
    </xf>
    <xf numFmtId="165" fontId="7" fillId="9" borderId="49" xfId="0" applyNumberFormat="1" applyFont="1" applyFill="1" applyBorder="1"/>
    <xf numFmtId="0" fontId="7" fillId="21" borderId="42" xfId="0" applyFont="1" applyFill="1" applyBorder="1"/>
    <xf numFmtId="0" fontId="0" fillId="20" borderId="0" xfId="0" applyFill="1"/>
    <xf numFmtId="0" fontId="36" fillId="0" borderId="0" xfId="0" applyFont="1"/>
    <xf numFmtId="0" fontId="3" fillId="19" borderId="36" xfId="0" applyFont="1" applyFill="1" applyBorder="1" applyAlignment="1">
      <alignment horizontal="center" vertical="center"/>
    </xf>
    <xf numFmtId="0" fontId="42" fillId="22" borderId="42" xfId="0" applyFont="1" applyFill="1" applyBorder="1" applyAlignment="1">
      <alignment horizontal="center" vertical="center"/>
    </xf>
    <xf numFmtId="165" fontId="48" fillId="2" borderId="49" xfId="0" applyNumberFormat="1" applyFont="1" applyFill="1" applyBorder="1" applyAlignment="1">
      <alignment horizontal="center" vertical="center"/>
    </xf>
    <xf numFmtId="0" fontId="42" fillId="22" borderId="44" xfId="0" applyFont="1" applyFill="1" applyBorder="1" applyAlignment="1">
      <alignment horizontal="center" vertical="center"/>
    </xf>
    <xf numFmtId="0" fontId="42" fillId="22" borderId="44" xfId="0" applyFont="1" applyFill="1" applyBorder="1" applyAlignment="1">
      <alignment horizontal="center" vertical="center" wrapText="1"/>
    </xf>
    <xf numFmtId="0" fontId="43" fillId="25" borderId="26" xfId="0" applyFont="1" applyFill="1" applyBorder="1" applyAlignment="1">
      <alignment horizontal="center"/>
    </xf>
    <xf numFmtId="0" fontId="43" fillId="25" borderId="27" xfId="0" applyFont="1" applyFill="1" applyBorder="1" applyAlignment="1">
      <alignment horizontal="center"/>
    </xf>
    <xf numFmtId="0" fontId="43" fillId="25" borderId="28" xfId="0" applyFont="1" applyFill="1" applyBorder="1" applyAlignment="1">
      <alignment horizontal="center"/>
    </xf>
    <xf numFmtId="0" fontId="43" fillId="19" borderId="32" xfId="0" applyFont="1" applyFill="1" applyBorder="1" applyAlignment="1">
      <alignment horizontal="center" vertical="center" wrapText="1"/>
    </xf>
    <xf numFmtId="0" fontId="43" fillId="19" borderId="12" xfId="0" applyFont="1" applyFill="1" applyBorder="1" applyAlignment="1">
      <alignment horizontal="center" vertical="center" wrapText="1"/>
    </xf>
    <xf numFmtId="0" fontId="43" fillId="19" borderId="37" xfId="0" applyFont="1" applyFill="1" applyBorder="1" applyAlignment="1">
      <alignment horizontal="center" vertical="center" wrapText="1"/>
    </xf>
    <xf numFmtId="0" fontId="43" fillId="2" borderId="36" xfId="0" applyFont="1" applyFill="1" applyBorder="1" applyAlignment="1">
      <alignment horizontal="center" vertical="center"/>
    </xf>
    <xf numFmtId="0" fontId="52" fillId="19" borderId="37" xfId="0" applyFont="1" applyFill="1" applyBorder="1" applyAlignment="1">
      <alignment horizontal="center" vertical="center" wrapText="1"/>
    </xf>
    <xf numFmtId="0" fontId="43" fillId="19" borderId="37" xfId="0" applyFont="1" applyFill="1" applyBorder="1" applyAlignment="1">
      <alignment horizontal="center" vertical="center"/>
    </xf>
    <xf numFmtId="0" fontId="43" fillId="2" borderId="12" xfId="0" applyFont="1" applyFill="1" applyBorder="1" applyAlignment="1">
      <alignment horizontal="center" vertical="center"/>
    </xf>
    <xf numFmtId="0" fontId="48" fillId="21" borderId="42" xfId="0" applyFont="1" applyFill="1" applyBorder="1"/>
    <xf numFmtId="165" fontId="43" fillId="19" borderId="54" xfId="0" applyNumberFormat="1" applyFont="1" applyFill="1" applyBorder="1" applyAlignment="1">
      <alignment horizontal="center" vertical="center"/>
    </xf>
    <xf numFmtId="0" fontId="48" fillId="24" borderId="58" xfId="0" applyFont="1" applyFill="1" applyBorder="1" applyAlignment="1">
      <alignment horizontal="center" vertical="center" wrapText="1"/>
    </xf>
    <xf numFmtId="0" fontId="50" fillId="22" borderId="43" xfId="0" applyFont="1" applyFill="1" applyBorder="1" applyAlignment="1">
      <alignment horizontal="center" vertical="center" wrapText="1"/>
    </xf>
    <xf numFmtId="9" fontId="43" fillId="19" borderId="32" xfId="0" applyNumberFormat="1" applyFont="1" applyFill="1" applyBorder="1" applyAlignment="1">
      <alignment horizontal="center" vertical="center" wrapText="1"/>
    </xf>
    <xf numFmtId="0" fontId="43" fillId="28" borderId="32" xfId="0" applyFont="1" applyFill="1" applyBorder="1" applyAlignment="1">
      <alignment horizontal="center" vertical="center" wrapText="1"/>
    </xf>
    <xf numFmtId="0" fontId="43" fillId="29" borderId="12" xfId="0" applyFont="1" applyFill="1" applyBorder="1" applyAlignment="1">
      <alignment horizontal="center" vertical="center"/>
    </xf>
    <xf numFmtId="0" fontId="52" fillId="3" borderId="36" xfId="0" applyFont="1" applyFill="1" applyBorder="1" applyAlignment="1">
      <alignment horizontal="center" vertical="center"/>
    </xf>
    <xf numFmtId="0" fontId="43" fillId="2" borderId="4" xfId="0" applyFont="1" applyFill="1" applyBorder="1" applyAlignment="1">
      <alignment horizontal="center" vertical="center"/>
    </xf>
    <xf numFmtId="0" fontId="48" fillId="0" borderId="0" xfId="0" applyFont="1"/>
    <xf numFmtId="0" fontId="42" fillId="2" borderId="10" xfId="0" applyFont="1" applyFill="1" applyBorder="1" applyAlignment="1">
      <alignment horizontal="center" vertical="center"/>
    </xf>
    <xf numFmtId="0" fontId="42" fillId="2" borderId="11" xfId="0" applyFont="1" applyFill="1" applyBorder="1" applyAlignment="1">
      <alignment horizontal="center" vertical="center"/>
    </xf>
    <xf numFmtId="0" fontId="42" fillId="2" borderId="12" xfId="0" applyFont="1" applyFill="1" applyBorder="1" applyAlignment="1">
      <alignment horizontal="center" vertical="center"/>
    </xf>
    <xf numFmtId="165" fontId="43" fillId="2" borderId="15" xfId="0" applyNumberFormat="1" applyFont="1" applyFill="1" applyBorder="1" applyAlignment="1">
      <alignment horizontal="center" vertical="center"/>
    </xf>
    <xf numFmtId="0" fontId="42" fillId="2" borderId="16" xfId="0" applyFont="1" applyFill="1" applyBorder="1" applyAlignment="1">
      <alignment horizontal="center" vertical="center"/>
    </xf>
    <xf numFmtId="165" fontId="48" fillId="2" borderId="17" xfId="0" applyNumberFormat="1" applyFont="1" applyFill="1" applyBorder="1" applyAlignment="1">
      <alignment horizontal="center" vertical="center"/>
    </xf>
    <xf numFmtId="0" fontId="50" fillId="2" borderId="8" xfId="0" applyFont="1" applyFill="1" applyBorder="1" applyAlignment="1">
      <alignment horizontal="center" vertical="center" wrapText="1"/>
    </xf>
    <xf numFmtId="0" fontId="48" fillId="2" borderId="12" xfId="0" applyFont="1" applyFill="1" applyBorder="1" applyAlignment="1">
      <alignment horizontal="center" vertical="center" wrapText="1"/>
    </xf>
    <xf numFmtId="0" fontId="50" fillId="2" borderId="18" xfId="0" applyFont="1" applyFill="1" applyBorder="1" applyAlignment="1">
      <alignment horizontal="center" vertical="center" wrapText="1"/>
    </xf>
    <xf numFmtId="0" fontId="43" fillId="2" borderId="26" xfId="0" applyFont="1" applyFill="1" applyBorder="1" applyAlignment="1">
      <alignment horizontal="center"/>
    </xf>
    <xf numFmtId="0" fontId="43" fillId="2" borderId="27" xfId="0" applyFont="1" applyFill="1" applyBorder="1" applyAlignment="1">
      <alignment horizontal="center"/>
    </xf>
    <xf numFmtId="0" fontId="43" fillId="2" borderId="28" xfId="0" applyFont="1" applyFill="1" applyBorder="1" applyAlignment="1">
      <alignment horizontal="center"/>
    </xf>
    <xf numFmtId="0" fontId="43" fillId="2" borderId="31" xfId="0" applyFont="1" applyFill="1" applyBorder="1" applyAlignment="1">
      <alignment horizontal="center" vertical="center" wrapText="1"/>
    </xf>
    <xf numFmtId="0" fontId="43" fillId="2" borderId="32" xfId="0" applyFont="1" applyFill="1" applyBorder="1" applyAlignment="1">
      <alignment horizontal="center" vertical="center" wrapText="1"/>
    </xf>
    <xf numFmtId="0" fontId="43" fillId="2" borderId="12" xfId="0" applyFont="1" applyFill="1" applyBorder="1" applyAlignment="1">
      <alignment horizontal="center" vertical="center" wrapText="1"/>
    </xf>
    <xf numFmtId="0" fontId="43" fillId="2" borderId="37" xfId="0" applyFont="1" applyFill="1" applyBorder="1" applyAlignment="1">
      <alignment horizontal="center" vertical="center" wrapText="1"/>
    </xf>
    <xf numFmtId="1" fontId="43" fillId="2" borderId="12" xfId="0" applyNumberFormat="1" applyFont="1" applyFill="1" applyBorder="1" applyAlignment="1">
      <alignment horizontal="center" vertical="center"/>
    </xf>
    <xf numFmtId="0" fontId="52" fillId="2" borderId="37" xfId="0" applyFont="1" applyFill="1" applyBorder="1" applyAlignment="1">
      <alignment horizontal="center" vertical="center" wrapText="1"/>
    </xf>
    <xf numFmtId="1" fontId="43" fillId="2" borderId="36" xfId="0" applyNumberFormat="1" applyFont="1" applyFill="1" applyBorder="1" applyAlignment="1">
      <alignment horizontal="center" vertical="center"/>
    </xf>
    <xf numFmtId="0" fontId="42" fillId="3" borderId="10" xfId="0" applyFont="1" applyFill="1" applyBorder="1" applyAlignment="1">
      <alignment horizontal="center" vertical="center"/>
    </xf>
    <xf numFmtId="0" fontId="42" fillId="3" borderId="11" xfId="0" applyFont="1" applyFill="1" applyBorder="1" applyAlignment="1">
      <alignment horizontal="center" vertical="center"/>
    </xf>
    <xf numFmtId="0" fontId="42" fillId="3" borderId="12" xfId="0" applyFont="1" applyFill="1" applyBorder="1" applyAlignment="1">
      <alignment horizontal="center" vertical="center"/>
    </xf>
    <xf numFmtId="165" fontId="43" fillId="3" borderId="15" xfId="0" applyNumberFormat="1" applyFont="1" applyFill="1" applyBorder="1" applyAlignment="1">
      <alignment horizontal="center" vertical="center"/>
    </xf>
    <xf numFmtId="0" fontId="42" fillId="3" borderId="16" xfId="0" applyFont="1" applyFill="1" applyBorder="1" applyAlignment="1">
      <alignment horizontal="center" vertical="center"/>
    </xf>
    <xf numFmtId="165" fontId="48" fillId="3" borderId="17" xfId="0" applyNumberFormat="1" applyFont="1" applyFill="1" applyBorder="1" applyAlignment="1">
      <alignment horizontal="center" vertical="center"/>
    </xf>
    <xf numFmtId="0" fontId="50" fillId="3" borderId="8" xfId="0" applyFont="1" applyFill="1" applyBorder="1" applyAlignment="1">
      <alignment horizontal="center" vertical="center" wrapText="1"/>
    </xf>
    <xf numFmtId="0" fontId="48" fillId="3" borderId="12" xfId="0" applyFont="1" applyFill="1" applyBorder="1" applyAlignment="1">
      <alignment horizontal="center" vertical="center" wrapText="1"/>
    </xf>
    <xf numFmtId="0" fontId="50" fillId="3" borderId="18" xfId="0" applyFont="1" applyFill="1" applyBorder="1" applyAlignment="1">
      <alignment horizontal="center" vertical="center" wrapText="1"/>
    </xf>
    <xf numFmtId="0" fontId="43" fillId="3" borderId="26" xfId="0" applyFont="1" applyFill="1" applyBorder="1" applyAlignment="1">
      <alignment horizontal="center"/>
    </xf>
    <xf numFmtId="0" fontId="43" fillId="3" borderId="27" xfId="0" applyFont="1" applyFill="1" applyBorder="1" applyAlignment="1">
      <alignment horizontal="center"/>
    </xf>
    <xf numFmtId="0" fontId="43" fillId="3" borderId="28" xfId="0" applyFont="1" applyFill="1" applyBorder="1" applyAlignment="1">
      <alignment horizontal="center"/>
    </xf>
    <xf numFmtId="0" fontId="43" fillId="3" borderId="36" xfId="0" applyFont="1" applyFill="1" applyBorder="1" applyAlignment="1">
      <alignment horizontal="center" vertical="center"/>
    </xf>
    <xf numFmtId="0" fontId="43" fillId="3" borderId="37" xfId="0" applyFont="1" applyFill="1" applyBorder="1" applyAlignment="1">
      <alignment horizontal="center" vertical="center" wrapText="1"/>
    </xf>
    <xf numFmtId="0" fontId="43" fillId="3" borderId="12" xfId="0" applyFont="1" applyFill="1" applyBorder="1" applyAlignment="1">
      <alignment horizontal="center" vertical="center"/>
    </xf>
    <xf numFmtId="1" fontId="43" fillId="2" borderId="4" xfId="0" applyNumberFormat="1" applyFont="1" applyFill="1" applyBorder="1" applyAlignment="1">
      <alignment horizontal="center" vertical="center"/>
    </xf>
    <xf numFmtId="165" fontId="43" fillId="3" borderId="40" xfId="0" applyNumberFormat="1" applyFont="1" applyFill="1" applyBorder="1" applyAlignment="1">
      <alignment horizontal="center" vertical="center"/>
    </xf>
    <xf numFmtId="0" fontId="43" fillId="3" borderId="4" xfId="0" applyFont="1" applyFill="1" applyBorder="1" applyAlignment="1">
      <alignment horizontal="center" vertical="center"/>
    </xf>
    <xf numFmtId="0" fontId="43" fillId="3" borderId="37" xfId="0" applyFont="1" applyFill="1" applyBorder="1" applyAlignment="1">
      <alignment horizontal="center" vertical="center"/>
    </xf>
    <xf numFmtId="0" fontId="43" fillId="30" borderId="12" xfId="0" applyFont="1" applyFill="1" applyBorder="1" applyAlignment="1">
      <alignment horizontal="center" vertical="center"/>
    </xf>
    <xf numFmtId="0" fontId="43" fillId="31" borderId="12" xfId="0" applyFont="1" applyFill="1" applyBorder="1" applyAlignment="1">
      <alignment horizontal="center" vertical="center"/>
    </xf>
    <xf numFmtId="1" fontId="43" fillId="32" borderId="12" xfId="0" applyNumberFormat="1" applyFont="1" applyFill="1" applyBorder="1" applyAlignment="1">
      <alignment horizontal="center" vertical="center"/>
    </xf>
    <xf numFmtId="0" fontId="43" fillId="33" borderId="32" xfId="0" applyFont="1" applyFill="1" applyBorder="1" applyAlignment="1">
      <alignment horizontal="center" vertical="center" wrapText="1"/>
    </xf>
    <xf numFmtId="0" fontId="50" fillId="3" borderId="53" xfId="0" applyFont="1" applyFill="1" applyBorder="1" applyAlignment="1">
      <alignment horizontal="center" vertical="center" wrapText="1"/>
    </xf>
    <xf numFmtId="0" fontId="50" fillId="3" borderId="43" xfId="0" applyFont="1" applyFill="1" applyBorder="1" applyAlignment="1">
      <alignment horizontal="center" vertical="center" wrapText="1"/>
    </xf>
    <xf numFmtId="0" fontId="43" fillId="2" borderId="36" xfId="0" applyFont="1" applyFill="1" applyBorder="1" applyAlignment="1">
      <alignment horizontal="center" vertical="center" wrapText="1"/>
    </xf>
    <xf numFmtId="1" fontId="43" fillId="34" borderId="12" xfId="0" applyNumberFormat="1" applyFont="1" applyFill="1" applyBorder="1" applyAlignment="1">
      <alignment horizontal="center" vertical="center"/>
    </xf>
    <xf numFmtId="0" fontId="48" fillId="20" borderId="0" xfId="0" applyFont="1" applyFill="1"/>
    <xf numFmtId="0" fontId="43" fillId="19" borderId="42" xfId="0" applyFont="1" applyFill="1" applyBorder="1" applyAlignment="1">
      <alignment horizontal="center" vertical="center" wrapText="1"/>
    </xf>
    <xf numFmtId="0" fontId="52" fillId="19" borderId="37" xfId="0" applyFont="1" applyFill="1" applyBorder="1" applyAlignment="1">
      <alignment horizontal="center" vertical="center"/>
    </xf>
    <xf numFmtId="9" fontId="40" fillId="19" borderId="58" xfId="0" applyNumberFormat="1" applyFont="1" applyFill="1" applyBorder="1" applyAlignment="1">
      <alignment horizontal="center" vertical="center" wrapText="1"/>
    </xf>
    <xf numFmtId="0" fontId="43" fillId="32" borderId="36" xfId="0" applyFont="1" applyFill="1" applyBorder="1" applyAlignment="1">
      <alignment horizontal="center" vertical="center"/>
    </xf>
    <xf numFmtId="0" fontId="43" fillId="32" borderId="12" xfId="0" applyFont="1" applyFill="1" applyBorder="1" applyAlignment="1">
      <alignment horizontal="center" vertical="center"/>
    </xf>
    <xf numFmtId="0" fontId="42" fillId="2" borderId="44" xfId="0" applyFont="1" applyFill="1" applyBorder="1" applyAlignment="1">
      <alignment horizontal="center" vertical="center"/>
    </xf>
    <xf numFmtId="0" fontId="42" fillId="2" borderId="18" xfId="0" applyFont="1" applyFill="1" applyBorder="1" applyAlignment="1">
      <alignment horizontal="center" vertical="center"/>
    </xf>
    <xf numFmtId="165" fontId="43" fillId="2" borderId="40" xfId="0" applyNumberFormat="1" applyFont="1" applyFill="1" applyBorder="1" applyAlignment="1">
      <alignment horizontal="center" vertical="center"/>
    </xf>
    <xf numFmtId="0" fontId="42" fillId="2" borderId="42" xfId="0" applyFont="1" applyFill="1" applyBorder="1" applyAlignment="1">
      <alignment horizontal="center" vertical="center"/>
    </xf>
    <xf numFmtId="0" fontId="43" fillId="2" borderId="37" xfId="0" applyFont="1" applyFill="1" applyBorder="1" applyAlignment="1">
      <alignment horizontal="center" vertical="center"/>
    </xf>
    <xf numFmtId="0" fontId="42" fillId="30" borderId="12" xfId="0" applyFont="1" applyFill="1" applyBorder="1" applyAlignment="1">
      <alignment horizontal="center" vertical="center"/>
    </xf>
    <xf numFmtId="0" fontId="48" fillId="24" borderId="12" xfId="0" applyFont="1" applyFill="1" applyBorder="1" applyAlignment="1">
      <alignment horizontal="center" vertical="center" wrapText="1"/>
    </xf>
    <xf numFmtId="0" fontId="43" fillId="35" borderId="26" xfId="0" applyFont="1" applyFill="1" applyBorder="1" applyAlignment="1">
      <alignment horizontal="center"/>
    </xf>
    <xf numFmtId="0" fontId="43" fillId="35" borderId="27" xfId="0" applyFont="1" applyFill="1" applyBorder="1" applyAlignment="1">
      <alignment horizontal="center"/>
    </xf>
    <xf numFmtId="0" fontId="43" fillId="35" borderId="28" xfId="0" applyFont="1" applyFill="1" applyBorder="1" applyAlignment="1">
      <alignment horizontal="center"/>
    </xf>
    <xf numFmtId="0" fontId="50" fillId="2" borderId="53" xfId="0" applyFont="1" applyFill="1" applyBorder="1" applyAlignment="1">
      <alignment horizontal="center" vertical="center" wrapText="1"/>
    </xf>
    <xf numFmtId="0" fontId="48" fillId="21" borderId="42" xfId="0" applyFont="1" applyFill="1" applyBorder="1" applyAlignment="1">
      <alignment wrapText="1"/>
    </xf>
    <xf numFmtId="0" fontId="43" fillId="21" borderId="42" xfId="0" applyFont="1" applyFill="1" applyBorder="1" applyAlignment="1">
      <alignment wrapText="1"/>
    </xf>
    <xf numFmtId="0" fontId="43" fillId="2" borderId="36" xfId="0" applyFont="1" applyFill="1" applyBorder="1" applyAlignment="1">
      <alignment vertical="center"/>
    </xf>
    <xf numFmtId="0" fontId="42" fillId="3" borderId="12" xfId="0" applyFont="1" applyFill="1" applyBorder="1" applyAlignment="1">
      <alignment horizontal="center" vertical="center" wrapText="1"/>
    </xf>
    <xf numFmtId="0" fontId="48" fillId="24" borderId="37" xfId="0" applyFont="1" applyFill="1" applyBorder="1" applyAlignment="1">
      <alignment horizontal="center" vertical="center" wrapText="1"/>
    </xf>
    <xf numFmtId="0" fontId="43" fillId="25" borderId="96" xfId="0" applyFont="1" applyFill="1" applyBorder="1" applyAlignment="1">
      <alignment horizontal="center"/>
    </xf>
    <xf numFmtId="0" fontId="43" fillId="25" borderId="36" xfId="0" applyFont="1" applyFill="1" applyBorder="1" applyAlignment="1">
      <alignment horizontal="center"/>
    </xf>
    <xf numFmtId="0" fontId="43" fillId="32" borderId="12" xfId="0" applyFont="1" applyFill="1" applyBorder="1" applyAlignment="1">
      <alignment horizontal="center" vertical="center" wrapText="1"/>
    </xf>
    <xf numFmtId="0" fontId="42" fillId="2" borderId="5" xfId="0" applyFont="1" applyFill="1" applyBorder="1" applyAlignment="1">
      <alignment horizontal="center" vertical="center"/>
    </xf>
    <xf numFmtId="0" fontId="37" fillId="0" borderId="4" xfId="0" applyFont="1" applyBorder="1"/>
    <xf numFmtId="0" fontId="48" fillId="2" borderId="5" xfId="0" applyFont="1" applyFill="1" applyBorder="1" applyAlignment="1">
      <alignment horizontal="center" vertical="center" wrapText="1"/>
    </xf>
    <xf numFmtId="0" fontId="37" fillId="0" borderId="9" xfId="0" applyFont="1" applyBorder="1"/>
    <xf numFmtId="0" fontId="42" fillId="2" borderId="20" xfId="0" applyFont="1" applyFill="1" applyBorder="1" applyAlignment="1">
      <alignment horizontal="center" vertical="center"/>
    </xf>
    <xf numFmtId="0" fontId="37" fillId="0" borderId="21" xfId="0" applyFont="1" applyBorder="1"/>
    <xf numFmtId="0" fontId="37" fillId="0" borderId="22" xfId="0" applyFont="1" applyBorder="1"/>
    <xf numFmtId="0" fontId="43" fillId="2" borderId="23" xfId="0" applyFont="1" applyFill="1" applyBorder="1" applyAlignment="1">
      <alignment horizontal="center" vertical="center"/>
    </xf>
    <xf numFmtId="0" fontId="37" fillId="0" borderId="19" xfId="0" applyFont="1" applyBorder="1"/>
    <xf numFmtId="0" fontId="43" fillId="2" borderId="24" xfId="0" applyFont="1" applyFill="1" applyBorder="1" applyAlignment="1">
      <alignment horizontal="center" vertical="center"/>
    </xf>
    <xf numFmtId="0" fontId="37" fillId="0" borderId="11" xfId="0" applyFont="1" applyBorder="1"/>
    <xf numFmtId="0" fontId="51" fillId="2" borderId="5" xfId="0" applyFont="1" applyFill="1" applyBorder="1" applyAlignment="1">
      <alignment horizontal="center" vertical="center"/>
    </xf>
    <xf numFmtId="0" fontId="48" fillId="2" borderId="5" xfId="0" applyFont="1" applyFill="1" applyBorder="1" applyAlignment="1">
      <alignment horizontal="center" vertical="center"/>
    </xf>
    <xf numFmtId="164" fontId="48" fillId="2" borderId="5" xfId="0" applyNumberFormat="1" applyFont="1" applyFill="1" applyBorder="1" applyAlignment="1">
      <alignment horizontal="center" vertical="center"/>
    </xf>
    <xf numFmtId="49" fontId="46" fillId="2" borderId="37" xfId="0" applyNumberFormat="1" applyFont="1" applyFill="1" applyBorder="1" applyAlignment="1">
      <alignment horizontal="center" vertical="center"/>
    </xf>
    <xf numFmtId="49" fontId="46" fillId="2" borderId="59" xfId="0" applyNumberFormat="1" applyFont="1" applyFill="1" applyBorder="1" applyAlignment="1">
      <alignment horizontal="center" vertical="center"/>
    </xf>
    <xf numFmtId="49" fontId="46" fillId="2" borderId="36" xfId="0" applyNumberFormat="1" applyFont="1" applyFill="1" applyBorder="1" applyAlignment="1">
      <alignment horizontal="center" vertical="center"/>
    </xf>
    <xf numFmtId="0" fontId="42" fillId="2" borderId="13" xfId="0" applyFont="1" applyFill="1" applyBorder="1" applyAlignment="1">
      <alignment horizontal="center" vertical="center" wrapText="1"/>
    </xf>
    <xf numFmtId="0" fontId="37" fillId="0" borderId="14" xfId="0" applyFont="1" applyBorder="1"/>
    <xf numFmtId="0" fontId="53" fillId="2" borderId="5" xfId="0" applyFont="1" applyFill="1" applyBorder="1" applyAlignment="1">
      <alignment horizontal="center" vertical="center"/>
    </xf>
    <xf numFmtId="0" fontId="38" fillId="2" borderId="5" xfId="0" applyFont="1" applyFill="1" applyBorder="1" applyAlignment="1">
      <alignment horizontal="center" vertical="center"/>
    </xf>
    <xf numFmtId="0" fontId="49" fillId="2" borderId="5" xfId="0" applyFont="1" applyFill="1" applyBorder="1" applyAlignment="1">
      <alignment horizontal="center" vertical="center"/>
    </xf>
    <xf numFmtId="0" fontId="50" fillId="2" borderId="1" xfId="0" applyFont="1" applyFill="1" applyBorder="1" applyAlignment="1">
      <alignment horizontal="center" vertical="center" wrapText="1"/>
    </xf>
    <xf numFmtId="0" fontId="37" fillId="0" borderId="3" xfId="0" applyFont="1" applyBorder="1"/>
    <xf numFmtId="0" fontId="37" fillId="0" borderId="6" xfId="0" applyFont="1" applyBorder="1"/>
    <xf numFmtId="0" fontId="37" fillId="0" borderId="8" xfId="0" applyFont="1" applyBorder="1"/>
    <xf numFmtId="0" fontId="48" fillId="2" borderId="17" xfId="0" applyFont="1" applyFill="1" applyBorder="1" applyAlignment="1">
      <alignment horizontal="center" vertical="center" wrapText="1"/>
    </xf>
    <xf numFmtId="0" fontId="50" fillId="2" borderId="17" xfId="0" applyFont="1" applyFill="1" applyBorder="1" applyAlignment="1">
      <alignment horizontal="center" vertical="center" wrapText="1"/>
    </xf>
    <xf numFmtId="0" fontId="37" fillId="0" borderId="59" xfId="0" applyFont="1" applyBorder="1" applyAlignment="1">
      <alignment horizontal="center" vertical="center"/>
    </xf>
    <xf numFmtId="0" fontId="37" fillId="0" borderId="36" xfId="0" applyFont="1" applyBorder="1" applyAlignment="1">
      <alignment horizontal="center" vertical="center"/>
    </xf>
    <xf numFmtId="0" fontId="38" fillId="2" borderId="37" xfId="0" applyFont="1" applyFill="1" applyBorder="1" applyAlignment="1">
      <alignment horizontal="center" vertical="center"/>
    </xf>
    <xf numFmtId="0" fontId="38" fillId="2" borderId="59" xfId="0" applyFont="1" applyFill="1" applyBorder="1" applyAlignment="1">
      <alignment horizontal="center" vertical="center"/>
    </xf>
    <xf numFmtId="0" fontId="1" fillId="26" borderId="50" xfId="0" applyFont="1" applyFill="1" applyBorder="1" applyAlignment="1">
      <alignment horizontal="center" vertical="center"/>
    </xf>
    <xf numFmtId="0" fontId="1" fillId="26" borderId="57" xfId="0" applyFont="1" applyFill="1" applyBorder="1" applyAlignment="1">
      <alignment horizontal="center" vertical="center"/>
    </xf>
    <xf numFmtId="0" fontId="1" fillId="26" borderId="47" xfId="0" applyFont="1" applyFill="1" applyBorder="1" applyAlignment="1">
      <alignment horizontal="center" vertical="center"/>
    </xf>
    <xf numFmtId="0" fontId="1" fillId="26" borderId="42" xfId="0" applyFont="1" applyFill="1" applyBorder="1" applyAlignment="1">
      <alignment horizontal="center" vertical="center"/>
    </xf>
    <xf numFmtId="0" fontId="40" fillId="2" borderId="57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43" xfId="0" applyFont="1" applyFill="1" applyBorder="1" applyAlignment="1">
      <alignment horizontal="center" vertical="center"/>
    </xf>
    <xf numFmtId="0" fontId="40" fillId="2" borderId="53" xfId="0" applyFont="1" applyFill="1" applyBorder="1" applyAlignment="1">
      <alignment horizontal="center" vertical="center"/>
    </xf>
    <xf numFmtId="0" fontId="43" fillId="2" borderId="17" xfId="0" applyFont="1" applyFill="1" applyBorder="1" applyAlignment="1">
      <alignment horizontal="center" vertical="center"/>
    </xf>
    <xf numFmtId="0" fontId="37" fillId="0" borderId="23" xfId="0" applyFont="1" applyBorder="1"/>
    <xf numFmtId="0" fontId="48" fillId="2" borderId="15" xfId="0" applyFont="1" applyFill="1" applyBorder="1" applyAlignment="1">
      <alignment horizontal="center" vertical="center" wrapText="1"/>
    </xf>
    <xf numFmtId="0" fontId="25" fillId="2" borderId="30" xfId="0" applyFont="1" applyFill="1" applyBorder="1" applyAlignment="1">
      <alignment horizontal="center" vertical="center" wrapText="1"/>
    </xf>
    <xf numFmtId="0" fontId="37" fillId="0" borderId="33" xfId="0" applyFont="1" applyBorder="1"/>
    <xf numFmtId="0" fontId="37" fillId="0" borderId="10" xfId="0" applyFont="1" applyBorder="1"/>
    <xf numFmtId="0" fontId="43" fillId="2" borderId="1" xfId="0" applyFont="1" applyFill="1" applyBorder="1" applyAlignment="1">
      <alignment horizontal="center" vertical="center"/>
    </xf>
    <xf numFmtId="0" fontId="43" fillId="2" borderId="17" xfId="0" applyFont="1" applyFill="1" applyBorder="1" applyAlignment="1">
      <alignment horizontal="center" vertical="center" wrapText="1"/>
    </xf>
    <xf numFmtId="0" fontId="43" fillId="2" borderId="25" xfId="0" applyFont="1" applyFill="1" applyBorder="1" applyAlignment="1">
      <alignment horizontal="center" vertical="center" wrapText="1"/>
    </xf>
    <xf numFmtId="0" fontId="37" fillId="0" borderId="29" xfId="0" applyFont="1" applyBorder="1"/>
    <xf numFmtId="0" fontId="43" fillId="2" borderId="34" xfId="0" applyFont="1" applyFill="1" applyBorder="1" applyAlignment="1">
      <alignment horizontal="center" vertical="center"/>
    </xf>
    <xf numFmtId="0" fontId="37" fillId="0" borderId="35" xfId="0" applyFont="1" applyBorder="1"/>
    <xf numFmtId="0" fontId="25" fillId="2" borderId="17" xfId="0" applyFont="1" applyFill="1" applyBorder="1" applyAlignment="1">
      <alignment horizontal="center" vertical="center" wrapText="1"/>
    </xf>
    <xf numFmtId="0" fontId="43" fillId="2" borderId="15" xfId="0" applyFont="1" applyFill="1" applyBorder="1" applyAlignment="1">
      <alignment horizontal="center" vertical="center"/>
    </xf>
    <xf numFmtId="0" fontId="43" fillId="2" borderId="5" xfId="0" applyFont="1" applyFill="1" applyBorder="1" applyAlignment="1">
      <alignment horizontal="center" vertical="center"/>
    </xf>
    <xf numFmtId="0" fontId="38" fillId="26" borderId="50" xfId="0" applyFont="1" applyFill="1" applyBorder="1" applyAlignment="1">
      <alignment horizontal="center" vertical="center"/>
    </xf>
    <xf numFmtId="0" fontId="38" fillId="26" borderId="57" xfId="0" applyFont="1" applyFill="1" applyBorder="1" applyAlignment="1">
      <alignment horizontal="center" vertical="center"/>
    </xf>
    <xf numFmtId="0" fontId="38" fillId="26" borderId="47" xfId="0" applyFont="1" applyFill="1" applyBorder="1" applyAlignment="1">
      <alignment horizontal="center" vertical="center"/>
    </xf>
    <xf numFmtId="0" fontId="38" fillId="26" borderId="42" xfId="0" applyFont="1" applyFill="1" applyBorder="1" applyAlignment="1">
      <alignment horizontal="center" vertical="center"/>
    </xf>
    <xf numFmtId="0" fontId="42" fillId="3" borderId="13" xfId="0" applyFont="1" applyFill="1" applyBorder="1" applyAlignment="1">
      <alignment horizontal="center" vertical="center" wrapText="1"/>
    </xf>
    <xf numFmtId="0" fontId="53" fillId="3" borderId="5" xfId="0" applyFont="1" applyFill="1" applyBorder="1" applyAlignment="1">
      <alignment horizontal="center" vertical="center"/>
    </xf>
    <xf numFmtId="0" fontId="38" fillId="3" borderId="5" xfId="0" applyFont="1" applyFill="1" applyBorder="1" applyAlignment="1">
      <alignment horizontal="center" vertical="center"/>
    </xf>
    <xf numFmtId="0" fontId="49" fillId="3" borderId="5" xfId="0" applyFont="1" applyFill="1" applyBorder="1" applyAlignment="1">
      <alignment horizontal="center" vertical="center"/>
    </xf>
    <xf numFmtId="0" fontId="50" fillId="3" borderId="1" xfId="0" applyFont="1" applyFill="1" applyBorder="1" applyAlignment="1">
      <alignment horizontal="center" vertical="center" wrapText="1"/>
    </xf>
    <xf numFmtId="0" fontId="37" fillId="0" borderId="47" xfId="0" applyFont="1" applyBorder="1"/>
    <xf numFmtId="0" fontId="37" fillId="0" borderId="48" xfId="0" applyFont="1" applyBorder="1"/>
    <xf numFmtId="0" fontId="48" fillId="3" borderId="17" xfId="0" applyFont="1" applyFill="1" applyBorder="1" applyAlignment="1">
      <alignment horizontal="center" vertical="center" wrapText="1"/>
    </xf>
    <xf numFmtId="0" fontId="37" fillId="0" borderId="54" xfId="0" applyFont="1" applyBorder="1"/>
    <xf numFmtId="0" fontId="50" fillId="3" borderId="17" xfId="0" applyFont="1" applyFill="1" applyBorder="1" applyAlignment="1">
      <alignment horizontal="center" vertical="center" wrapText="1"/>
    </xf>
    <xf numFmtId="0" fontId="43" fillId="3" borderId="13" xfId="0" applyFont="1" applyFill="1" applyBorder="1" applyAlignment="1">
      <alignment horizontal="center" vertical="center"/>
    </xf>
    <xf numFmtId="0" fontId="43" fillId="3" borderId="23" xfId="0" applyFont="1" applyFill="1" applyBorder="1" applyAlignment="1">
      <alignment horizontal="center" vertical="center" wrapText="1"/>
    </xf>
    <xf numFmtId="0" fontId="43" fillId="3" borderId="25" xfId="0" applyFont="1" applyFill="1" applyBorder="1" applyAlignment="1">
      <alignment horizontal="center" vertical="center" wrapText="1"/>
    </xf>
    <xf numFmtId="0" fontId="43" fillId="3" borderId="17" xfId="0" applyFont="1" applyFill="1" applyBorder="1" applyAlignment="1">
      <alignment horizontal="center" vertical="center" wrapText="1"/>
    </xf>
    <xf numFmtId="0" fontId="42" fillId="3" borderId="5" xfId="0" applyFont="1" applyFill="1" applyBorder="1" applyAlignment="1">
      <alignment horizontal="center" vertical="center"/>
    </xf>
    <xf numFmtId="0" fontId="48" fillId="3" borderId="5" xfId="0" applyFont="1" applyFill="1" applyBorder="1" applyAlignment="1">
      <alignment horizontal="center" vertical="center" wrapText="1"/>
    </xf>
    <xf numFmtId="0" fontId="37" fillId="0" borderId="59" xfId="0" applyFont="1" applyBorder="1"/>
    <xf numFmtId="0" fontId="48" fillId="3" borderId="59" xfId="0" applyFont="1" applyFill="1" applyBorder="1" applyAlignment="1">
      <alignment horizontal="center" vertical="center" wrapText="1"/>
    </xf>
    <xf numFmtId="0" fontId="43" fillId="3" borderId="23" xfId="0" applyFont="1" applyFill="1" applyBorder="1" applyAlignment="1">
      <alignment horizontal="center" vertical="center"/>
    </xf>
    <xf numFmtId="0" fontId="43" fillId="3" borderId="24" xfId="0" applyFont="1" applyFill="1" applyBorder="1" applyAlignment="1">
      <alignment horizontal="center" vertical="center"/>
    </xf>
    <xf numFmtId="0" fontId="51" fillId="3" borderId="5" xfId="0" applyFont="1" applyFill="1" applyBorder="1" applyAlignment="1">
      <alignment horizontal="center" vertical="center"/>
    </xf>
    <xf numFmtId="0" fontId="42" fillId="3" borderId="81" xfId="0" applyFont="1" applyFill="1" applyBorder="1" applyAlignment="1">
      <alignment horizontal="center" vertical="center"/>
    </xf>
    <xf numFmtId="0" fontId="37" fillId="0" borderId="90" xfId="0" applyFont="1" applyBorder="1"/>
    <xf numFmtId="0" fontId="37" fillId="0" borderId="82" xfId="0" applyFont="1" applyBorder="1"/>
    <xf numFmtId="0" fontId="43" fillId="3" borderId="17" xfId="0" applyFont="1" applyFill="1" applyBorder="1" applyAlignment="1">
      <alignment horizontal="center" vertical="center"/>
    </xf>
    <xf numFmtId="0" fontId="48" fillId="3" borderId="30" xfId="0" applyFont="1" applyFill="1" applyBorder="1" applyAlignment="1">
      <alignment horizontal="center" vertical="center" wrapText="1"/>
    </xf>
    <xf numFmtId="0" fontId="48" fillId="19" borderId="17" xfId="0" applyFont="1" applyFill="1" applyBorder="1" applyAlignment="1">
      <alignment horizontal="center" vertical="center" wrapText="1"/>
    </xf>
    <xf numFmtId="0" fontId="37" fillId="20" borderId="23" xfId="0" applyFont="1" applyFill="1" applyBorder="1"/>
    <xf numFmtId="0" fontId="37" fillId="20" borderId="19" xfId="0" applyFont="1" applyFill="1" applyBorder="1"/>
    <xf numFmtId="0" fontId="43" fillId="3" borderId="34" xfId="0" applyFont="1" applyFill="1" applyBorder="1" applyAlignment="1">
      <alignment horizontal="center" vertical="center"/>
    </xf>
    <xf numFmtId="0" fontId="48" fillId="3" borderId="15" xfId="0" applyFont="1" applyFill="1" applyBorder="1" applyAlignment="1">
      <alignment horizontal="center" vertical="center" wrapText="1"/>
    </xf>
    <xf numFmtId="0" fontId="43" fillId="22" borderId="34" xfId="0" applyFont="1" applyFill="1" applyBorder="1" applyAlignment="1">
      <alignment horizontal="center" vertical="center"/>
    </xf>
    <xf numFmtId="0" fontId="37" fillId="20" borderId="35" xfId="0" applyFont="1" applyFill="1" applyBorder="1"/>
    <xf numFmtId="0" fontId="43" fillId="3" borderId="15" xfId="0" applyFont="1" applyFill="1" applyBorder="1" applyAlignment="1">
      <alignment horizontal="center" vertical="center"/>
    </xf>
    <xf numFmtId="0" fontId="43" fillId="3" borderId="25" xfId="0" applyFont="1" applyFill="1" applyBorder="1" applyAlignment="1">
      <alignment horizontal="center" vertical="center"/>
    </xf>
    <xf numFmtId="0" fontId="37" fillId="0" borderId="38" xfId="0" applyFont="1" applyBorder="1"/>
    <xf numFmtId="0" fontId="37" fillId="0" borderId="39" xfId="0" applyFont="1" applyBorder="1"/>
    <xf numFmtId="0" fontId="48" fillId="2" borderId="30" xfId="0" applyFont="1" applyFill="1" applyBorder="1" applyAlignment="1">
      <alignment horizontal="center" vertical="center" wrapText="1"/>
    </xf>
    <xf numFmtId="0" fontId="48" fillId="3" borderId="23" xfId="0" applyFont="1" applyFill="1" applyBorder="1" applyAlignment="1">
      <alignment horizontal="center" vertical="center" wrapText="1"/>
    </xf>
    <xf numFmtId="0" fontId="43" fillId="2" borderId="9" xfId="0" applyFont="1" applyFill="1" applyBorder="1" applyAlignment="1">
      <alignment horizontal="center" vertical="center"/>
    </xf>
    <xf numFmtId="0" fontId="43" fillId="3" borderId="9" xfId="0" applyFont="1" applyFill="1" applyBorder="1" applyAlignment="1">
      <alignment horizontal="center" vertical="center"/>
    </xf>
    <xf numFmtId="0" fontId="43" fillId="3" borderId="1" xfId="0" applyFont="1" applyFill="1" applyBorder="1" applyAlignment="1">
      <alignment horizontal="center" vertical="center"/>
    </xf>
    <xf numFmtId="0" fontId="48" fillId="19" borderId="30" xfId="0" applyFont="1" applyFill="1" applyBorder="1" applyAlignment="1">
      <alignment horizontal="center" vertical="center" wrapText="1"/>
    </xf>
    <xf numFmtId="0" fontId="37" fillId="20" borderId="33" xfId="0" applyFont="1" applyFill="1" applyBorder="1"/>
    <xf numFmtId="0" fontId="37" fillId="20" borderId="10" xfId="0" applyFont="1" applyFill="1" applyBorder="1"/>
    <xf numFmtId="0" fontId="43" fillId="3" borderId="16" xfId="0" applyFont="1" applyFill="1" applyBorder="1" applyAlignment="1">
      <alignment horizontal="center" vertical="center"/>
    </xf>
    <xf numFmtId="0" fontId="42" fillId="3" borderId="20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2" fillId="0" borderId="41" xfId="0" applyFont="1" applyBorder="1"/>
    <xf numFmtId="0" fontId="2" fillId="0" borderId="6" xfId="0" applyFont="1" applyBorder="1"/>
    <xf numFmtId="0" fontId="2" fillId="0" borderId="43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7" xfId="0" applyFont="1" applyBorder="1"/>
    <xf numFmtId="0" fontId="2" fillId="0" borderId="8" xfId="0" applyFont="1" applyBorder="1"/>
    <xf numFmtId="0" fontId="4" fillId="4" borderId="5" xfId="0" applyFont="1" applyFill="1" applyBorder="1" applyAlignment="1">
      <alignment horizontal="center" vertical="center"/>
    </xf>
    <xf numFmtId="0" fontId="2" fillId="0" borderId="4" xfId="0" applyFont="1" applyBorder="1"/>
    <xf numFmtId="15" fontId="4" fillId="4" borderId="5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2" fillId="0" borderId="9" xfId="0" applyFont="1" applyBorder="1"/>
    <xf numFmtId="0" fontId="13" fillId="2" borderId="5" xfId="0" applyFont="1" applyFill="1" applyBorder="1" applyAlignment="1">
      <alignment horizontal="center" vertical="center"/>
    </xf>
    <xf numFmtId="0" fontId="5" fillId="5" borderId="47" xfId="0" applyFont="1" applyFill="1" applyBorder="1" applyAlignment="1">
      <alignment horizontal="center" vertical="center"/>
    </xf>
    <xf numFmtId="0" fontId="2" fillId="0" borderId="48" xfId="0" applyFont="1" applyBorder="1"/>
    <xf numFmtId="0" fontId="5" fillId="2" borderId="45" xfId="0" applyFont="1" applyFill="1" applyBorder="1" applyAlignment="1">
      <alignment horizontal="center" vertical="center"/>
    </xf>
    <xf numFmtId="0" fontId="2" fillId="0" borderId="46" xfId="0" applyFont="1" applyBorder="1"/>
    <xf numFmtId="0" fontId="1" fillId="2" borderId="50" xfId="0" applyFont="1" applyFill="1" applyBorder="1" applyAlignment="1">
      <alignment horizontal="center" vertical="center"/>
    </xf>
    <xf numFmtId="0" fontId="2" fillId="0" borderId="22" xfId="0" applyFont="1" applyBorder="1"/>
    <xf numFmtId="0" fontId="15" fillId="7" borderId="5" xfId="0" applyFont="1" applyFill="1" applyBorder="1" applyAlignment="1">
      <alignment horizontal="center" vertical="center" wrapText="1"/>
    </xf>
    <xf numFmtId="0" fontId="5" fillId="2" borderId="47" xfId="0" applyFont="1" applyFill="1" applyBorder="1" applyAlignment="1">
      <alignment horizontal="center" vertical="center"/>
    </xf>
    <xf numFmtId="49" fontId="16" fillId="2" borderId="5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 wrapText="1"/>
    </xf>
    <xf numFmtId="0" fontId="5" fillId="2" borderId="51" xfId="0" applyFont="1" applyFill="1" applyBorder="1" applyAlignment="1">
      <alignment horizontal="center" vertical="center"/>
    </xf>
    <xf numFmtId="0" fontId="2" fillId="0" borderId="52" xfId="0" applyFont="1" applyBorder="1"/>
    <xf numFmtId="0" fontId="17" fillId="2" borderId="5" xfId="0" applyFont="1" applyFill="1" applyBorder="1" applyAlignment="1">
      <alignment horizontal="center" vertical="center" wrapText="1"/>
    </xf>
    <xf numFmtId="0" fontId="8" fillId="8" borderId="25" xfId="0" applyFont="1" applyFill="1" applyBorder="1" applyAlignment="1">
      <alignment horizontal="center" vertical="center" wrapText="1"/>
    </xf>
    <xf numFmtId="0" fontId="2" fillId="0" borderId="29" xfId="0" applyFont="1" applyBorder="1"/>
    <xf numFmtId="0" fontId="8" fillId="8" borderId="17" xfId="0" applyFont="1" applyFill="1" applyBorder="1" applyAlignment="1">
      <alignment horizontal="center" vertical="center" wrapText="1"/>
    </xf>
    <xf numFmtId="0" fontId="2" fillId="0" borderId="19" xfId="0" applyFont="1" applyBorder="1"/>
    <xf numFmtId="0" fontId="5" fillId="2" borderId="5" xfId="0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6" xfId="0" applyFont="1" applyFill="1" applyBorder="1" applyAlignment="1">
      <alignment horizontal="center" vertical="center"/>
    </xf>
    <xf numFmtId="0" fontId="2" fillId="0" borderId="11" xfId="0" applyFont="1" applyBorder="1"/>
    <xf numFmtId="0" fontId="9" fillId="8" borderId="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 wrapText="1"/>
    </xf>
    <xf numFmtId="0" fontId="2" fillId="0" borderId="23" xfId="0" applyFont="1" applyBorder="1"/>
    <xf numFmtId="0" fontId="8" fillId="5" borderId="34" xfId="0" applyFont="1" applyFill="1" applyBorder="1" applyAlignment="1">
      <alignment horizontal="center" vertical="center"/>
    </xf>
    <xf numFmtId="0" fontId="2" fillId="0" borderId="35" xfId="0" applyFont="1" applyBorder="1"/>
    <xf numFmtId="0" fontId="8" fillId="5" borderId="17" xfId="0" applyFont="1" applyFill="1" applyBorder="1" applyAlignment="1">
      <alignment horizontal="center" vertical="center"/>
    </xf>
    <xf numFmtId="0" fontId="10" fillId="2" borderId="30" xfId="0" applyFont="1" applyFill="1" applyBorder="1" applyAlignment="1">
      <alignment horizontal="center" vertical="center" wrapText="1"/>
    </xf>
    <xf numFmtId="0" fontId="2" fillId="0" borderId="33" xfId="0" applyFont="1" applyBorder="1"/>
    <xf numFmtId="0" fontId="2" fillId="0" borderId="10" xfId="0" applyFont="1" applyBorder="1"/>
    <xf numFmtId="0" fontId="10" fillId="2" borderId="17" xfId="0" applyFont="1" applyFill="1" applyBorder="1" applyAlignment="1">
      <alignment horizontal="center" vertical="center" wrapText="1"/>
    </xf>
    <xf numFmtId="0" fontId="7" fillId="2" borderId="15" xfId="0" applyFont="1" applyFill="1" applyBorder="1" applyAlignment="1">
      <alignment horizontal="center" vertical="center" wrapText="1"/>
    </xf>
    <xf numFmtId="0" fontId="8" fillId="5" borderId="15" xfId="0" applyFont="1" applyFill="1" applyBorder="1" applyAlignment="1">
      <alignment horizontal="center" vertical="center"/>
    </xf>
    <xf numFmtId="0" fontId="8" fillId="5" borderId="25" xfId="0" applyFont="1" applyFill="1" applyBorder="1" applyAlignment="1">
      <alignment horizontal="center" vertical="center"/>
    </xf>
    <xf numFmtId="0" fontId="2" fillId="0" borderId="38" xfId="0" applyFont="1" applyBorder="1"/>
    <xf numFmtId="0" fontId="2" fillId="0" borderId="39" xfId="0" applyFont="1" applyBorder="1"/>
    <xf numFmtId="0" fontId="8" fillId="5" borderId="34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15" fontId="4" fillId="2" borderId="5" xfId="0" applyNumberFormat="1" applyFont="1" applyFill="1" applyBorder="1" applyAlignment="1">
      <alignment horizontal="center" vertical="center"/>
    </xf>
    <xf numFmtId="0" fontId="2" fillId="0" borderId="21" xfId="0" applyFont="1" applyBorder="1"/>
    <xf numFmtId="0" fontId="18" fillId="8" borderId="5" xfId="0" applyFont="1" applyFill="1" applyBorder="1" applyAlignment="1">
      <alignment horizontal="center" vertical="center"/>
    </xf>
    <xf numFmtId="0" fontId="6" fillId="2" borderId="45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/>
    </xf>
    <xf numFmtId="0" fontId="8" fillId="8" borderId="34" xfId="0" applyFont="1" applyFill="1" applyBorder="1" applyAlignment="1">
      <alignment horizontal="center" vertical="center"/>
    </xf>
    <xf numFmtId="0" fontId="2" fillId="0" borderId="54" xfId="0" applyFont="1" applyBorder="1"/>
    <xf numFmtId="0" fontId="1" fillId="10" borderId="1" xfId="0" applyFont="1" applyFill="1" applyBorder="1" applyAlignment="1">
      <alignment horizontal="center" vertical="center"/>
    </xf>
    <xf numFmtId="0" fontId="4" fillId="10" borderId="5" xfId="0" applyFont="1" applyFill="1" applyBorder="1" applyAlignment="1">
      <alignment horizontal="center" vertical="center"/>
    </xf>
    <xf numFmtId="15" fontId="4" fillId="10" borderId="5" xfId="0" applyNumberFormat="1" applyFont="1" applyFill="1" applyBorder="1" applyAlignment="1">
      <alignment horizontal="center" vertical="center"/>
    </xf>
    <xf numFmtId="0" fontId="2" fillId="0" borderId="55" xfId="0" applyFont="1" applyBorder="1"/>
    <xf numFmtId="0" fontId="19" fillId="8" borderId="5" xfId="0" applyFont="1" applyFill="1" applyBorder="1" applyAlignment="1">
      <alignment horizontal="center" vertical="center" wrapText="1"/>
    </xf>
    <xf numFmtId="0" fontId="7" fillId="0" borderId="17" xfId="0" applyFont="1" applyBorder="1" applyAlignment="1">
      <alignment horizontal="center" wrapText="1"/>
    </xf>
    <xf numFmtId="0" fontId="7" fillId="0" borderId="17" xfId="0" applyFont="1" applyBorder="1" applyAlignment="1">
      <alignment horizontal="center" vertical="center" wrapText="1"/>
    </xf>
    <xf numFmtId="0" fontId="8" fillId="8" borderId="34" xfId="0" applyFont="1" applyFill="1" applyBorder="1" applyAlignment="1">
      <alignment horizontal="center" vertical="center" wrapText="1"/>
    </xf>
    <xf numFmtId="0" fontId="8" fillId="8" borderId="5" xfId="0" applyFont="1" applyFill="1" applyBorder="1" applyAlignment="1">
      <alignment horizontal="center" vertical="center"/>
    </xf>
    <xf numFmtId="0" fontId="10" fillId="2" borderId="15" xfId="0" applyFont="1" applyFill="1" applyBorder="1" applyAlignment="1">
      <alignment horizontal="center" vertical="center" wrapText="1"/>
    </xf>
    <xf numFmtId="0" fontId="8" fillId="11" borderId="34" xfId="0" applyFont="1" applyFill="1" applyBorder="1" applyAlignment="1">
      <alignment horizontal="center" vertical="center"/>
    </xf>
    <xf numFmtId="0" fontId="8" fillId="11" borderId="34" xfId="0" applyFont="1" applyFill="1" applyBorder="1" applyAlignment="1">
      <alignment horizontal="center" vertical="center" wrapText="1"/>
    </xf>
    <xf numFmtId="0" fontId="42" fillId="2" borderId="47" xfId="0" applyFont="1" applyFill="1" applyBorder="1" applyAlignment="1">
      <alignment horizontal="center" vertical="center"/>
    </xf>
    <xf numFmtId="0" fontId="37" fillId="20" borderId="48" xfId="0" applyFont="1" applyFill="1" applyBorder="1"/>
    <xf numFmtId="0" fontId="42" fillId="2" borderId="45" xfId="0" applyFont="1" applyFill="1" applyBorder="1" applyAlignment="1">
      <alignment horizontal="center" vertical="center"/>
    </xf>
    <xf numFmtId="0" fontId="38" fillId="2" borderId="50" xfId="0" applyFont="1" applyFill="1" applyBorder="1" applyAlignment="1">
      <alignment horizontal="center" vertical="center"/>
    </xf>
    <xf numFmtId="0" fontId="37" fillId="20" borderId="22" xfId="0" applyFont="1" applyFill="1" applyBorder="1"/>
    <xf numFmtId="0" fontId="37" fillId="20" borderId="9" xfId="0" applyFont="1" applyFill="1" applyBorder="1"/>
    <xf numFmtId="0" fontId="37" fillId="20" borderId="59" xfId="0" applyFont="1" applyFill="1" applyBorder="1"/>
    <xf numFmtId="0" fontId="50" fillId="2" borderId="85" xfId="0" applyFont="1" applyFill="1" applyBorder="1" applyAlignment="1">
      <alignment horizontal="center" vertical="center" wrapText="1"/>
    </xf>
    <xf numFmtId="0" fontId="50" fillId="2" borderId="87" xfId="0" applyFont="1" applyFill="1" applyBorder="1" applyAlignment="1">
      <alignment horizontal="center" vertical="center" wrapText="1"/>
    </xf>
    <xf numFmtId="0" fontId="50" fillId="2" borderId="97" xfId="0" applyFont="1" applyFill="1" applyBorder="1" applyAlignment="1">
      <alignment horizontal="center" vertical="center" wrapText="1"/>
    </xf>
    <xf numFmtId="0" fontId="50" fillId="2" borderId="89" xfId="0" applyFont="1" applyFill="1" applyBorder="1" applyAlignment="1">
      <alignment horizontal="center" vertical="center" wrapText="1"/>
    </xf>
    <xf numFmtId="0" fontId="42" fillId="2" borderId="98" xfId="0" applyFont="1" applyFill="1" applyBorder="1" applyAlignment="1">
      <alignment horizontal="center" vertical="center"/>
    </xf>
    <xf numFmtId="0" fontId="37" fillId="20" borderId="42" xfId="0" applyFont="1" applyFill="1" applyBorder="1"/>
    <xf numFmtId="0" fontId="25" fillId="2" borderId="45" xfId="0" applyFont="1" applyFill="1" applyBorder="1" applyAlignment="1">
      <alignment horizontal="center" vertical="center" wrapText="1"/>
    </xf>
    <xf numFmtId="0" fontId="37" fillId="20" borderId="4" xfId="0" applyFont="1" applyFill="1" applyBorder="1"/>
    <xf numFmtId="0" fontId="43" fillId="35" borderId="25" xfId="0" applyFont="1" applyFill="1" applyBorder="1" applyAlignment="1">
      <alignment horizontal="center" vertical="center" wrapText="1"/>
    </xf>
    <xf numFmtId="0" fontId="37" fillId="20" borderId="29" xfId="0" applyFont="1" applyFill="1" applyBorder="1"/>
    <xf numFmtId="0" fontId="43" fillId="35" borderId="17" xfId="0" applyFont="1" applyFill="1" applyBorder="1" applyAlignment="1">
      <alignment horizontal="center" vertical="center" wrapText="1"/>
    </xf>
    <xf numFmtId="0" fontId="25" fillId="2" borderId="5" xfId="0" applyFont="1" applyFill="1" applyBorder="1" applyAlignment="1">
      <alignment horizontal="center" vertical="center" wrapText="1"/>
    </xf>
    <xf numFmtId="0" fontId="37" fillId="20" borderId="95" xfId="0" applyFont="1" applyFill="1" applyBorder="1"/>
    <xf numFmtId="0" fontId="43" fillId="35" borderId="1" xfId="0" applyFont="1" applyFill="1" applyBorder="1" applyAlignment="1">
      <alignment horizontal="center" vertical="center"/>
    </xf>
    <xf numFmtId="0" fontId="37" fillId="20" borderId="3" xfId="0" applyFont="1" applyFill="1" applyBorder="1"/>
    <xf numFmtId="0" fontId="37" fillId="20" borderId="6" xfId="0" applyFont="1" applyFill="1" applyBorder="1"/>
    <xf numFmtId="0" fontId="37" fillId="20" borderId="8" xfId="0" applyFont="1" applyFill="1" applyBorder="1"/>
    <xf numFmtId="0" fontId="48" fillId="24" borderId="93" xfId="0" applyFont="1" applyFill="1" applyBorder="1" applyAlignment="1">
      <alignment horizontal="center" vertical="center" wrapText="1"/>
    </xf>
    <xf numFmtId="0" fontId="48" fillId="24" borderId="95" xfId="0" applyFont="1" applyFill="1" applyBorder="1" applyAlignment="1">
      <alignment horizontal="center" vertical="center" wrapText="1"/>
    </xf>
    <xf numFmtId="0" fontId="50" fillId="2" borderId="93" xfId="0" applyFont="1" applyFill="1" applyBorder="1" applyAlignment="1">
      <alignment horizontal="center" vertical="center" wrapText="1"/>
    </xf>
    <xf numFmtId="0" fontId="50" fillId="2" borderId="95" xfId="0" applyFont="1" applyFill="1" applyBorder="1" applyAlignment="1">
      <alignment horizontal="center" vertical="center" wrapText="1"/>
    </xf>
    <xf numFmtId="0" fontId="43" fillId="35" borderId="34" xfId="0" applyFont="1" applyFill="1" applyBorder="1" applyAlignment="1">
      <alignment horizontal="center" vertical="center"/>
    </xf>
    <xf numFmtId="0" fontId="43" fillId="24" borderId="54" xfId="0" applyFont="1" applyFill="1" applyBorder="1" applyAlignment="1">
      <alignment horizontal="center" vertical="center"/>
    </xf>
    <xf numFmtId="0" fontId="48" fillId="2" borderId="54" xfId="0" applyFont="1" applyFill="1" applyBorder="1" applyAlignment="1">
      <alignment horizontal="center" vertical="center" wrapText="1"/>
    </xf>
    <xf numFmtId="0" fontId="43" fillId="24" borderId="15" xfId="0" applyFont="1" applyFill="1" applyBorder="1" applyAlignment="1">
      <alignment horizontal="center" vertical="center"/>
    </xf>
    <xf numFmtId="0" fontId="43" fillId="24" borderId="17" xfId="0" applyFont="1" applyFill="1" applyBorder="1" applyAlignment="1">
      <alignment horizontal="center" vertical="center"/>
    </xf>
    <xf numFmtId="0" fontId="43" fillId="24" borderId="25" xfId="0" applyFont="1" applyFill="1" applyBorder="1" applyAlignment="1">
      <alignment horizontal="center" vertical="center"/>
    </xf>
    <xf numFmtId="0" fontId="37" fillId="20" borderId="38" xfId="0" applyFont="1" applyFill="1" applyBorder="1"/>
    <xf numFmtId="0" fontId="37" fillId="20" borderId="39" xfId="0" applyFont="1" applyFill="1" applyBorder="1"/>
    <xf numFmtId="0" fontId="50" fillId="22" borderId="45" xfId="0" applyFont="1" applyFill="1" applyBorder="1" applyAlignment="1">
      <alignment horizontal="center" vertical="center" wrapText="1"/>
    </xf>
    <xf numFmtId="0" fontId="37" fillId="20" borderId="53" xfId="0" applyFont="1" applyFill="1" applyBorder="1"/>
    <xf numFmtId="0" fontId="42" fillId="22" borderId="5" xfId="0" applyFont="1" applyFill="1" applyBorder="1" applyAlignment="1">
      <alignment horizontal="center" vertical="center"/>
    </xf>
    <xf numFmtId="0" fontId="25" fillId="19" borderId="5" xfId="0" applyFont="1" applyFill="1" applyBorder="1" applyAlignment="1">
      <alignment horizontal="center" vertical="center" wrapText="1"/>
    </xf>
    <xf numFmtId="0" fontId="43" fillId="25" borderId="25" xfId="0" applyFont="1" applyFill="1" applyBorder="1" applyAlignment="1">
      <alignment horizontal="center" vertical="center" wrapText="1"/>
    </xf>
    <xf numFmtId="0" fontId="43" fillId="25" borderId="17" xfId="0" applyFont="1" applyFill="1" applyBorder="1" applyAlignment="1">
      <alignment horizontal="center" vertical="center" wrapText="1"/>
    </xf>
    <xf numFmtId="0" fontId="42" fillId="22" borderId="20" xfId="0" applyFont="1" applyFill="1" applyBorder="1" applyAlignment="1">
      <alignment horizontal="center" vertical="center"/>
    </xf>
    <xf numFmtId="0" fontId="37" fillId="20" borderId="21" xfId="0" applyFont="1" applyFill="1" applyBorder="1"/>
    <xf numFmtId="0" fontId="43" fillId="25" borderId="15" xfId="0" applyFont="1" applyFill="1" applyBorder="1" applyAlignment="1">
      <alignment horizontal="center" vertical="center"/>
    </xf>
    <xf numFmtId="0" fontId="40" fillId="19" borderId="85" xfId="0" applyFont="1" applyFill="1" applyBorder="1" applyAlignment="1">
      <alignment horizontal="center" vertical="center"/>
    </xf>
    <xf numFmtId="0" fontId="41" fillId="20" borderId="86" xfId="0" applyFont="1" applyFill="1" applyBorder="1"/>
    <xf numFmtId="0" fontId="41" fillId="20" borderId="87" xfId="0" applyFont="1" applyFill="1" applyBorder="1"/>
    <xf numFmtId="0" fontId="41" fillId="20" borderId="84" xfId="0" applyFont="1" applyFill="1" applyBorder="1"/>
    <xf numFmtId="0" fontId="41" fillId="20" borderId="42" xfId="0" applyFont="1" applyFill="1" applyBorder="1"/>
    <xf numFmtId="0" fontId="41" fillId="20" borderId="88" xfId="0" applyFont="1" applyFill="1" applyBorder="1"/>
    <xf numFmtId="0" fontId="41" fillId="20" borderId="89" xfId="0" applyFont="1" applyFill="1" applyBorder="1"/>
    <xf numFmtId="0" fontId="4" fillId="19" borderId="5" xfId="0" applyFont="1" applyFill="1" applyBorder="1" applyAlignment="1">
      <alignment horizontal="center" vertical="center"/>
    </xf>
    <xf numFmtId="0" fontId="2" fillId="20" borderId="4" xfId="0" applyFont="1" applyFill="1" applyBorder="1"/>
    <xf numFmtId="15" fontId="4" fillId="19" borderId="5" xfId="0" applyNumberFormat="1" applyFont="1" applyFill="1" applyBorder="1" applyAlignment="1">
      <alignment horizontal="center" vertical="center"/>
    </xf>
    <xf numFmtId="49" fontId="46" fillId="19" borderId="5" xfId="0" applyNumberFormat="1" applyFont="1" applyFill="1" applyBorder="1" applyAlignment="1">
      <alignment horizontal="center" vertical="center"/>
    </xf>
    <xf numFmtId="49" fontId="37" fillId="20" borderId="9" xfId="0" applyNumberFormat="1" applyFont="1" applyFill="1" applyBorder="1"/>
    <xf numFmtId="49" fontId="37" fillId="20" borderId="4" xfId="0" applyNumberFormat="1" applyFont="1" applyFill="1" applyBorder="1"/>
    <xf numFmtId="0" fontId="45" fillId="20" borderId="84" xfId="0" applyFont="1" applyFill="1" applyBorder="1" applyAlignment="1">
      <alignment horizontal="center"/>
    </xf>
    <xf numFmtId="0" fontId="45" fillId="20" borderId="48" xfId="0" applyFont="1" applyFill="1" applyBorder="1" applyAlignment="1">
      <alignment horizontal="center"/>
    </xf>
    <xf numFmtId="0" fontId="38" fillId="22" borderId="81" xfId="0" applyFont="1" applyFill="1" applyBorder="1" applyAlignment="1">
      <alignment horizontal="center" vertical="center"/>
    </xf>
    <xf numFmtId="0" fontId="38" fillId="22" borderId="90" xfId="0" applyFont="1" applyFill="1" applyBorder="1" applyAlignment="1">
      <alignment horizontal="center" vertical="center"/>
    </xf>
    <xf numFmtId="0" fontId="38" fillId="22" borderId="82" xfId="0" applyFont="1" applyFill="1" applyBorder="1" applyAlignment="1">
      <alignment horizontal="center" vertical="center"/>
    </xf>
    <xf numFmtId="0" fontId="47" fillId="23" borderId="47" xfId="0" applyFont="1" applyFill="1" applyBorder="1" applyAlignment="1">
      <alignment horizontal="center" vertical="center" wrapText="1"/>
    </xf>
    <xf numFmtId="0" fontId="37" fillId="20" borderId="82" xfId="0" applyFont="1" applyFill="1" applyBorder="1"/>
    <xf numFmtId="0" fontId="39" fillId="19" borderId="92" xfId="0" applyFont="1" applyFill="1" applyBorder="1" applyAlignment="1">
      <alignment horizontal="center" vertical="center"/>
    </xf>
    <xf numFmtId="0" fontId="39" fillId="19" borderId="91" xfId="0" applyFont="1" applyFill="1" applyBorder="1" applyAlignment="1">
      <alignment horizontal="center" vertical="center"/>
    </xf>
    <xf numFmtId="0" fontId="44" fillId="22" borderId="86" xfId="0" applyFont="1" applyFill="1" applyBorder="1" applyAlignment="1">
      <alignment horizontal="center" vertical="center"/>
    </xf>
    <xf numFmtId="0" fontId="44" fillId="22" borderId="91" xfId="0" applyFont="1" applyFill="1" applyBorder="1" applyAlignment="1">
      <alignment horizontal="center" vertical="center"/>
    </xf>
    <xf numFmtId="0" fontId="49" fillId="27" borderId="81" xfId="0" applyFont="1" applyFill="1" applyBorder="1" applyAlignment="1">
      <alignment horizontal="center" vertical="center"/>
    </xf>
    <xf numFmtId="0" fontId="49" fillId="27" borderId="90" xfId="0" applyFont="1" applyFill="1" applyBorder="1" applyAlignment="1">
      <alignment horizontal="center" vertical="center"/>
    </xf>
    <xf numFmtId="0" fontId="49" fillId="27" borderId="82" xfId="0" applyFont="1" applyFill="1" applyBorder="1" applyAlignment="1">
      <alignment horizontal="center" vertical="center"/>
    </xf>
    <xf numFmtId="0" fontId="43" fillId="25" borderId="16" xfId="0" applyFont="1" applyFill="1" applyBorder="1" applyAlignment="1">
      <alignment horizontal="center" vertical="center"/>
    </xf>
    <xf numFmtId="0" fontId="37" fillId="20" borderId="11" xfId="0" applyFont="1" applyFill="1" applyBorder="1"/>
    <xf numFmtId="0" fontId="51" fillId="25" borderId="5" xfId="0" applyFont="1" applyFill="1" applyBorder="1" applyAlignment="1">
      <alignment horizontal="center" vertical="center"/>
    </xf>
    <xf numFmtId="0" fontId="43" fillId="25" borderId="1" xfId="0" applyFont="1" applyFill="1" applyBorder="1" applyAlignment="1">
      <alignment horizontal="center" vertical="center"/>
    </xf>
    <xf numFmtId="0" fontId="37" fillId="20" borderId="54" xfId="0" applyFont="1" applyFill="1" applyBorder="1"/>
    <xf numFmtId="0" fontId="48" fillId="19" borderId="15" xfId="0" applyFont="1" applyFill="1" applyBorder="1" applyAlignment="1">
      <alignment horizontal="center" vertical="center" wrapText="1"/>
    </xf>
    <xf numFmtId="0" fontId="37" fillId="20" borderId="93" xfId="0" applyFont="1" applyFill="1" applyBorder="1" applyAlignment="1">
      <alignment horizontal="center" vertical="center" wrapText="1"/>
    </xf>
    <xf numFmtId="0" fontId="37" fillId="20" borderId="94" xfId="0" applyFont="1" applyFill="1" applyBorder="1" applyAlignment="1">
      <alignment horizontal="center" vertical="center" wrapText="1"/>
    </xf>
    <xf numFmtId="0" fontId="37" fillId="20" borderId="95" xfId="0" applyFont="1" applyFill="1" applyBorder="1" applyAlignment="1">
      <alignment horizontal="center" vertical="center" wrapText="1"/>
    </xf>
    <xf numFmtId="0" fontId="48" fillId="19" borderId="93" xfId="0" applyFont="1" applyFill="1" applyBorder="1" applyAlignment="1">
      <alignment horizontal="center" vertical="center" wrapText="1"/>
    </xf>
    <xf numFmtId="0" fontId="37" fillId="20" borderId="94" xfId="0" applyFont="1" applyFill="1" applyBorder="1"/>
    <xf numFmtId="0" fontId="48" fillId="19" borderId="25" xfId="0" applyFont="1" applyFill="1" applyBorder="1" applyAlignment="1">
      <alignment horizontal="center" vertical="center" wrapText="1"/>
    </xf>
    <xf numFmtId="0" fontId="43" fillId="22" borderId="5" xfId="0" applyFont="1" applyFill="1" applyBorder="1" applyAlignment="1">
      <alignment horizontal="center" vertical="center"/>
    </xf>
    <xf numFmtId="0" fontId="48" fillId="19" borderId="87" xfId="0" applyFont="1" applyFill="1" applyBorder="1" applyAlignment="1">
      <alignment horizontal="center" vertical="center" wrapText="1"/>
    </xf>
    <xf numFmtId="0" fontId="37" fillId="20" borderId="83" xfId="0" applyFont="1" applyFill="1" applyBorder="1"/>
    <xf numFmtId="0" fontId="37" fillId="20" borderId="89" xfId="0" applyFont="1" applyFill="1" applyBorder="1"/>
    <xf numFmtId="0" fontId="48" fillId="19" borderId="57" xfId="0" applyFont="1" applyFill="1" applyBorder="1" applyAlignment="1">
      <alignment horizontal="center" vertical="center" wrapText="1"/>
    </xf>
    <xf numFmtId="0" fontId="37" fillId="20" borderId="43" xfId="0" applyFont="1" applyFill="1" applyBorder="1"/>
    <xf numFmtId="0" fontId="43" fillId="24" borderId="93" xfId="0" applyFont="1" applyFill="1" applyBorder="1" applyAlignment="1">
      <alignment horizontal="center" vertical="center"/>
    </xf>
    <xf numFmtId="0" fontId="48" fillId="19" borderId="54" xfId="0" applyFont="1" applyFill="1" applyBorder="1" applyAlignment="1">
      <alignment horizontal="center" vertical="center" wrapText="1"/>
    </xf>
    <xf numFmtId="0" fontId="48" fillId="19" borderId="48" xfId="0" applyFont="1" applyFill="1" applyBorder="1" applyAlignment="1">
      <alignment horizontal="center" vertical="center" wrapText="1"/>
    </xf>
    <xf numFmtId="0" fontId="48" fillId="19" borderId="47" xfId="0" applyFont="1" applyFill="1" applyBorder="1" applyAlignment="1">
      <alignment horizontal="center" vertical="center" wrapText="1"/>
    </xf>
    <xf numFmtId="0" fontId="50" fillId="3" borderId="49" xfId="0" applyFont="1" applyFill="1" applyBorder="1" applyAlignment="1">
      <alignment horizontal="center" vertical="center" wrapText="1"/>
    </xf>
    <xf numFmtId="0" fontId="37" fillId="0" borderId="58" xfId="0" applyFont="1" applyBorder="1"/>
    <xf numFmtId="0" fontId="48" fillId="3" borderId="49" xfId="0" applyFont="1" applyFill="1" applyBorder="1" applyAlignment="1">
      <alignment horizontal="center" vertical="center" wrapText="1"/>
    </xf>
    <xf numFmtId="0" fontId="48" fillId="3" borderId="37" xfId="0" applyFont="1" applyFill="1" applyBorder="1" applyAlignment="1">
      <alignment horizontal="center" vertical="center" wrapText="1"/>
    </xf>
    <xf numFmtId="0" fontId="37" fillId="0" borderId="36" xfId="0" applyFont="1" applyBorder="1"/>
    <xf numFmtId="0" fontId="43" fillId="3" borderId="54" xfId="0" applyFont="1" applyFill="1" applyBorder="1" applyAlignment="1">
      <alignment horizontal="center" vertical="center"/>
    </xf>
    <xf numFmtId="0" fontId="43" fillId="3" borderId="42" xfId="0" applyFont="1" applyFill="1" applyBorder="1" applyAlignment="1">
      <alignment horizontal="center" vertical="center"/>
    </xf>
    <xf numFmtId="0" fontId="37" fillId="0" borderId="43" xfId="0" applyFont="1" applyBorder="1"/>
    <xf numFmtId="0" fontId="51" fillId="3" borderId="37" xfId="0" applyFont="1" applyFill="1" applyBorder="1" applyAlignment="1">
      <alignment horizontal="center" vertical="center"/>
    </xf>
    <xf numFmtId="0" fontId="43" fillId="3" borderId="50" xfId="0" applyFont="1" applyFill="1" applyBorder="1" applyAlignment="1">
      <alignment horizontal="center" vertical="center"/>
    </xf>
    <xf numFmtId="0" fontId="37" fillId="0" borderId="25" xfId="0" applyFont="1" applyBorder="1"/>
    <xf numFmtId="0" fontId="37" fillId="0" borderId="45" xfId="0" applyFont="1" applyBorder="1"/>
    <xf numFmtId="0" fontId="37" fillId="0" borderId="53" xfId="0" applyFont="1" applyBorder="1"/>
    <xf numFmtId="0" fontId="43" fillId="3" borderId="49" xfId="0" applyFont="1" applyFill="1" applyBorder="1" applyAlignment="1">
      <alignment horizontal="center" vertical="center" wrapText="1"/>
    </xf>
    <xf numFmtId="0" fontId="43" fillId="3" borderId="49" xfId="0" applyFont="1" applyFill="1" applyBorder="1" applyAlignment="1">
      <alignment horizontal="center" vertical="center"/>
    </xf>
    <xf numFmtId="0" fontId="48" fillId="2" borderId="49" xfId="0" applyFont="1" applyFill="1" applyBorder="1" applyAlignment="1">
      <alignment horizontal="center" vertical="center" wrapText="1"/>
    </xf>
    <xf numFmtId="0" fontId="43" fillId="2" borderId="59" xfId="0" applyFont="1" applyFill="1" applyBorder="1" applyAlignment="1">
      <alignment horizontal="center" vertical="center"/>
    </xf>
    <xf numFmtId="0" fontId="48" fillId="3" borderId="54" xfId="0" applyFont="1" applyFill="1" applyBorder="1" applyAlignment="1">
      <alignment horizontal="center" vertical="center" wrapText="1"/>
    </xf>
    <xf numFmtId="0" fontId="48" fillId="2" borderId="50" xfId="0" applyFont="1" applyFill="1" applyBorder="1" applyAlignment="1">
      <alignment horizontal="center" vertical="center" wrapText="1"/>
    </xf>
    <xf numFmtId="0" fontId="43" fillId="3" borderId="59" xfId="0" applyFont="1" applyFill="1" applyBorder="1" applyAlignment="1">
      <alignment horizontal="center" vertical="center"/>
    </xf>
    <xf numFmtId="0" fontId="42" fillId="3" borderId="37" xfId="0" applyFont="1" applyFill="1" applyBorder="1" applyAlignment="1">
      <alignment horizontal="center" vertical="center"/>
    </xf>
    <xf numFmtId="0" fontId="42" fillId="3" borderId="57" xfId="0" applyFont="1" applyFill="1" applyBorder="1" applyAlignment="1">
      <alignment horizontal="center" vertical="center"/>
    </xf>
    <xf numFmtId="0" fontId="37" fillId="0" borderId="57" xfId="0" applyFont="1" applyBorder="1"/>
    <xf numFmtId="0" fontId="38" fillId="3" borderId="37" xfId="0" applyFont="1" applyFill="1" applyBorder="1" applyAlignment="1">
      <alignment horizontal="center" vertical="center"/>
    </xf>
    <xf numFmtId="0" fontId="49" fillId="3" borderId="37" xfId="0" applyFont="1" applyFill="1" applyBorder="1" applyAlignment="1">
      <alignment horizontal="center" vertical="center"/>
    </xf>
    <xf numFmtId="0" fontId="50" fillId="3" borderId="50" xfId="0" applyFont="1" applyFill="1" applyBorder="1" applyAlignment="1">
      <alignment horizontal="center" vertical="center" wrapText="1"/>
    </xf>
    <xf numFmtId="0" fontId="38" fillId="22" borderId="50" xfId="0" applyFont="1" applyFill="1" applyBorder="1" applyAlignment="1">
      <alignment horizontal="center" vertical="center"/>
    </xf>
    <xf numFmtId="0" fontId="49" fillId="24" borderId="5" xfId="0" applyFont="1" applyFill="1" applyBorder="1" applyAlignment="1">
      <alignment horizontal="center" vertical="center"/>
    </xf>
    <xf numFmtId="0" fontId="48" fillId="19" borderId="17" xfId="0" applyFont="1" applyFill="1" applyBorder="1" applyAlignment="1">
      <alignment horizontal="center" wrapText="1"/>
    </xf>
    <xf numFmtId="0" fontId="43" fillId="24" borderId="57" xfId="0" applyFont="1" applyFill="1" applyBorder="1" applyAlignment="1">
      <alignment horizontal="center" vertical="center"/>
    </xf>
    <xf numFmtId="0" fontId="37" fillId="20" borderId="24" xfId="0" applyFont="1" applyFill="1" applyBorder="1"/>
    <xf numFmtId="0" fontId="5" fillId="2" borderId="47" xfId="0" applyFont="1" applyFill="1" applyBorder="1" applyAlignment="1">
      <alignment horizontal="center" vertical="center" wrapText="1"/>
    </xf>
    <xf numFmtId="0" fontId="20" fillId="5" borderId="5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48" fillId="2" borderId="25" xfId="0" applyFont="1" applyFill="1" applyBorder="1" applyAlignment="1">
      <alignment horizontal="center" vertical="center" wrapText="1"/>
    </xf>
    <xf numFmtId="0" fontId="43" fillId="24" borderId="34" xfId="0" applyFont="1" applyFill="1" applyBorder="1" applyAlignment="1">
      <alignment horizontal="center" vertical="center" wrapText="1"/>
    </xf>
    <xf numFmtId="0" fontId="48" fillId="2" borderId="58" xfId="0" applyFont="1" applyFill="1" applyBorder="1" applyAlignment="1">
      <alignment horizontal="center" vertical="center" wrapText="1"/>
    </xf>
    <xf numFmtId="0" fontId="43" fillId="24" borderId="34" xfId="0" applyFont="1" applyFill="1" applyBorder="1" applyAlignment="1">
      <alignment horizontal="center" vertical="center"/>
    </xf>
    <xf numFmtId="0" fontId="37" fillId="20" borderId="48" xfId="0" applyFont="1" applyFill="1" applyBorder="1" applyAlignment="1">
      <alignment horizontal="center" vertical="center" wrapText="1"/>
    </xf>
    <xf numFmtId="0" fontId="25" fillId="2" borderId="47" xfId="0" applyFont="1" applyFill="1" applyBorder="1" applyAlignment="1">
      <alignment horizontal="center" vertical="center" wrapText="1"/>
    </xf>
    <xf numFmtId="0" fontId="25" fillId="2" borderId="54" xfId="0" applyFont="1" applyFill="1" applyBorder="1" applyAlignment="1">
      <alignment horizontal="center" vertical="center" wrapText="1"/>
    </xf>
    <xf numFmtId="0" fontId="43" fillId="25" borderId="93" xfId="0" applyFont="1" applyFill="1" applyBorder="1" applyAlignment="1">
      <alignment horizontal="center" vertical="center"/>
    </xf>
    <xf numFmtId="0" fontId="51" fillId="25" borderId="57" xfId="0" applyFont="1" applyFill="1" applyBorder="1" applyAlignment="1">
      <alignment horizontal="center" vertical="center"/>
    </xf>
    <xf numFmtId="0" fontId="37" fillId="20" borderId="57" xfId="0" applyFont="1" applyFill="1" applyBorder="1"/>
    <xf numFmtId="0" fontId="42" fillId="2" borderId="43" xfId="0" applyFont="1" applyFill="1" applyBorder="1" applyAlignment="1">
      <alignment horizontal="center" vertical="center"/>
    </xf>
    <xf numFmtId="0" fontId="42" fillId="2" borderId="53" xfId="0" applyFont="1" applyFill="1" applyBorder="1" applyAlignment="1">
      <alignment horizontal="center" vertical="center"/>
    </xf>
    <xf numFmtId="0" fontId="25" fillId="2" borderId="53" xfId="0" applyFont="1" applyFill="1" applyBorder="1" applyAlignment="1">
      <alignment horizontal="center" vertical="center" wrapText="1"/>
    </xf>
    <xf numFmtId="0" fontId="42" fillId="2" borderId="47" xfId="0" applyFont="1" applyFill="1" applyBorder="1" applyAlignment="1">
      <alignment horizontal="center" vertical="center" wrapText="1"/>
    </xf>
    <xf numFmtId="0" fontId="49" fillId="24" borderId="5" xfId="0" applyFont="1" applyFill="1" applyBorder="1" applyAlignment="1">
      <alignment horizontal="center" vertical="center" wrapText="1"/>
    </xf>
    <xf numFmtId="49" fontId="54" fillId="2" borderId="93" xfId="0" applyNumberFormat="1" applyFont="1" applyFill="1" applyBorder="1" applyAlignment="1">
      <alignment horizontal="center" vertical="center" wrapText="1"/>
    </xf>
    <xf numFmtId="49" fontId="54" fillId="2" borderId="95" xfId="0" applyNumberFormat="1" applyFont="1" applyFill="1" applyBorder="1" applyAlignment="1">
      <alignment horizontal="center" vertical="center" wrapText="1"/>
    </xf>
    <xf numFmtId="0" fontId="37" fillId="20" borderId="59" xfId="0" applyFont="1" applyFill="1" applyBorder="1" applyAlignment="1">
      <alignment horizontal="center" vertical="center"/>
    </xf>
    <xf numFmtId="0" fontId="37" fillId="20" borderId="36" xfId="0" applyFont="1" applyFill="1" applyBorder="1" applyAlignment="1">
      <alignment horizontal="center" vertical="center"/>
    </xf>
    <xf numFmtId="0" fontId="42" fillId="2" borderId="51" xfId="0" applyFont="1" applyFill="1" applyBorder="1" applyAlignment="1">
      <alignment horizontal="center" vertical="center"/>
    </xf>
    <xf numFmtId="0" fontId="37" fillId="20" borderId="52" xfId="0" applyFont="1" applyFill="1" applyBorder="1"/>
    <xf numFmtId="0" fontId="43" fillId="35" borderId="15" xfId="0" applyFont="1" applyFill="1" applyBorder="1" applyAlignment="1">
      <alignment horizontal="center" vertical="center"/>
    </xf>
    <xf numFmtId="0" fontId="43" fillId="35" borderId="16" xfId="0" applyFont="1" applyFill="1" applyBorder="1" applyAlignment="1">
      <alignment horizontal="center" vertical="center"/>
    </xf>
    <xf numFmtId="0" fontId="51" fillId="35" borderId="5" xfId="0" applyFont="1" applyFill="1" applyBorder="1" applyAlignment="1">
      <alignment horizontal="center" vertical="center"/>
    </xf>
    <xf numFmtId="0" fontId="25" fillId="2" borderId="93" xfId="0" applyFont="1" applyFill="1" applyBorder="1" applyAlignment="1">
      <alignment horizontal="center" vertical="center" wrapText="1"/>
    </xf>
    <xf numFmtId="0" fontId="48" fillId="2" borderId="93" xfId="0" applyFont="1" applyFill="1" applyBorder="1" applyAlignment="1">
      <alignment horizontal="center" vertical="center" wrapText="1"/>
    </xf>
    <xf numFmtId="0" fontId="43" fillId="35" borderId="59" xfId="0" applyFont="1" applyFill="1" applyBorder="1" applyAlignment="1">
      <alignment horizontal="center" vertical="center"/>
    </xf>
    <xf numFmtId="0" fontId="25" fillId="2" borderId="25" xfId="0" applyFont="1" applyFill="1" applyBorder="1" applyAlignment="1">
      <alignment horizontal="center" vertical="center" wrapText="1"/>
    </xf>
    <xf numFmtId="0" fontId="25" fillId="2" borderId="57" xfId="0" applyFont="1" applyFill="1" applyBorder="1" applyAlignment="1">
      <alignment horizontal="center" vertical="center" wrapText="1"/>
    </xf>
    <xf numFmtId="0" fontId="25" fillId="2" borderId="42" xfId="0" applyFont="1" applyFill="1" applyBorder="1" applyAlignment="1">
      <alignment horizontal="center" vertical="center" wrapText="1"/>
    </xf>
    <xf numFmtId="0" fontId="23" fillId="13" borderId="17" xfId="0" applyFont="1" applyFill="1" applyBorder="1" applyAlignment="1">
      <alignment horizontal="center" vertical="center"/>
    </xf>
    <xf numFmtId="0" fontId="32" fillId="13" borderId="5" xfId="0" applyFont="1" applyFill="1" applyBorder="1" applyAlignment="1">
      <alignment horizontal="center"/>
    </xf>
    <xf numFmtId="0" fontId="23" fillId="13" borderId="30" xfId="0" applyFont="1" applyFill="1" applyBorder="1" applyAlignment="1">
      <alignment horizontal="center" vertical="center"/>
    </xf>
    <xf numFmtId="0" fontId="8" fillId="13" borderId="5" xfId="0" applyFont="1" applyFill="1" applyBorder="1" applyAlignment="1">
      <alignment horizontal="center"/>
    </xf>
    <xf numFmtId="0" fontId="8" fillId="8" borderId="5" xfId="0" applyFont="1" applyFill="1" applyBorder="1" applyAlignment="1">
      <alignment horizontal="center"/>
    </xf>
    <xf numFmtId="0" fontId="7" fillId="12" borderId="5" xfId="0" applyFont="1" applyFill="1" applyBorder="1" applyAlignment="1">
      <alignment horizontal="center"/>
    </xf>
    <xf numFmtId="0" fontId="30" fillId="16" borderId="5" xfId="0" applyFont="1" applyFill="1" applyBorder="1" applyAlignment="1">
      <alignment horizontal="center"/>
    </xf>
    <xf numFmtId="0" fontId="8" fillId="12" borderId="5" xfId="0" applyFont="1" applyFill="1" applyBorder="1" applyAlignment="1">
      <alignment horizontal="center"/>
    </xf>
    <xf numFmtId="0" fontId="8" fillId="12" borderId="50" xfId="0" applyFont="1" applyFill="1" applyBorder="1" applyAlignment="1">
      <alignment horizontal="center"/>
    </xf>
    <xf numFmtId="0" fontId="35" fillId="12" borderId="1" xfId="0" applyFont="1" applyFill="1" applyBorder="1" applyAlignment="1">
      <alignment horizontal="center" wrapText="1"/>
    </xf>
  </cellXfs>
  <cellStyles count="1">
    <cellStyle name="Normal" xfId="0" builtinId="0"/>
  </cellStyles>
  <dxfs count="285"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  <dxf>
      <font>
        <b/>
        <i/>
      </font>
      <fill>
        <patternFill patternType="solid">
          <fgColor rgb="FFFF0000"/>
          <bgColor rgb="FFFF0000"/>
        </patternFill>
      </fill>
    </dxf>
    <dxf>
      <font>
        <b/>
        <i/>
      </font>
      <fill>
        <patternFill patternType="solid">
          <fgColor rgb="FF00B050"/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22/10/relationships/richValueRel" Target="richData/richValueRel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eetMetadata" Target="metadata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microsoft.com/office/2017/06/relationships/rdRichValueTypes" Target="richData/rdRichValueTyp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2324100</xdr:colOff>
      <xdr:row>0</xdr:row>
      <xdr:rowOff>9525</xdr:rowOff>
    </xdr:from>
    <xdr:ext cx="3543300" cy="1962150"/>
    <xdr:pic>
      <xdr:nvPicPr>
        <xdr:cNvPr id="2" name="image1.pn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981450" cy="2286000"/>
    <xdr:pic>
      <xdr:nvPicPr>
        <xdr:cNvPr id="2" name="image2.pn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305300" cy="2476500"/>
    <xdr:pic>
      <xdr:nvPicPr>
        <xdr:cNvPr id="2" name="image5.pn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1543050</xdr:colOff>
      <xdr:row>0</xdr:row>
      <xdr:rowOff>0</xdr:rowOff>
    </xdr:from>
    <xdr:ext cx="2657475" cy="2333625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4200525" cy="2105025"/>
    <xdr:pic>
      <xdr:nvPicPr>
        <xdr:cNvPr id="2" name="image6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971550</xdr:colOff>
      <xdr:row>0</xdr:row>
      <xdr:rowOff>314325</xdr:rowOff>
    </xdr:from>
    <xdr:ext cx="1276350" cy="1123950"/>
    <xdr:pic>
      <xdr:nvPicPr>
        <xdr:cNvPr id="2" name="image7.pn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556805-E2CF-D344-98EE-9E350F0724AD}">
  <sheetPr codeName="Hoja2"/>
  <dimension ref="A1:J39"/>
  <sheetViews>
    <sheetView showGridLines="0" workbookViewId="0">
      <selection activeCell="C10" sqref="C10:C12"/>
    </sheetView>
  </sheetViews>
  <sheetFormatPr baseColWidth="10" defaultColWidth="11.1640625" defaultRowHeight="15" customHeight="1"/>
  <cols>
    <col min="1" max="1" width="22.6640625" style="99" customWidth="1"/>
    <col min="2" max="2" width="25.1640625" style="99" customWidth="1"/>
    <col min="3" max="3" width="26" style="99" customWidth="1"/>
    <col min="4" max="4" width="26.5" style="99" customWidth="1"/>
    <col min="5" max="5" width="35.1640625" style="99" customWidth="1"/>
    <col min="6" max="6" width="10.83203125" style="99" customWidth="1"/>
    <col min="7" max="7" width="19.1640625" style="99" customWidth="1"/>
    <col min="8" max="8" width="30.33203125" style="99" customWidth="1"/>
    <col min="9" max="9" width="36.33203125" style="99" customWidth="1"/>
    <col min="10" max="10" width="29.5" style="99" customWidth="1"/>
    <col min="11" max="16384" width="11.1640625" style="99"/>
  </cols>
  <sheetData>
    <row r="1" spans="1:10" ht="57.75" customHeight="1" thickBot="1">
      <c r="A1" s="203" t="e" vm="1">
        <v>#VALUE!</v>
      </c>
      <c r="B1" s="204"/>
      <c r="C1" s="207" t="s">
        <v>0</v>
      </c>
      <c r="D1" s="207"/>
      <c r="E1" s="207"/>
      <c r="F1" s="207"/>
      <c r="G1" s="208"/>
      <c r="H1" s="98" t="s">
        <v>1</v>
      </c>
      <c r="I1" s="183" t="s">
        <v>2</v>
      </c>
      <c r="J1" s="172"/>
    </row>
    <row r="2" spans="1:10" ht="71.25" customHeight="1" thickBot="1">
      <c r="A2" s="205"/>
      <c r="B2" s="206"/>
      <c r="C2" s="209"/>
      <c r="D2" s="209"/>
      <c r="E2" s="209"/>
      <c r="F2" s="209"/>
      <c r="G2" s="210"/>
      <c r="H2" s="98" t="s">
        <v>3</v>
      </c>
      <c r="I2" s="184">
        <v>45889</v>
      </c>
      <c r="J2" s="172"/>
    </row>
    <row r="3" spans="1:10" ht="34" customHeight="1" thickBot="1">
      <c r="A3" s="201" t="s">
        <v>856</v>
      </c>
      <c r="B3" s="202"/>
      <c r="C3" s="202"/>
      <c r="D3" s="202"/>
      <c r="E3" s="199" t="s">
        <v>855</v>
      </c>
      <c r="F3" s="199"/>
      <c r="G3" s="200"/>
      <c r="H3" s="185" t="s">
        <v>843</v>
      </c>
      <c r="I3" s="186"/>
      <c r="J3" s="187"/>
    </row>
    <row r="4" spans="1:10" ht="38" customHeight="1" thickBot="1">
      <c r="A4" s="100" t="s">
        <v>6</v>
      </c>
      <c r="B4" s="190" t="s">
        <v>7</v>
      </c>
      <c r="C4" s="172"/>
      <c r="D4" s="101" t="s">
        <v>8</v>
      </c>
      <c r="E4" s="102" t="s">
        <v>790</v>
      </c>
      <c r="F4" s="188" t="s">
        <v>9</v>
      </c>
      <c r="G4" s="189"/>
      <c r="H4" s="103">
        <v>23000000</v>
      </c>
      <c r="I4" s="104" t="s">
        <v>10</v>
      </c>
      <c r="J4" s="105"/>
    </row>
    <row r="5" spans="1:10" ht="37" customHeight="1" thickBot="1">
      <c r="A5" s="191" t="s">
        <v>11</v>
      </c>
      <c r="B5" s="172"/>
      <c r="C5" s="192" t="s">
        <v>12</v>
      </c>
      <c r="D5" s="174"/>
      <c r="E5" s="172"/>
      <c r="F5" s="193" t="s">
        <v>13</v>
      </c>
      <c r="G5" s="194"/>
      <c r="H5" s="197" t="s">
        <v>14</v>
      </c>
      <c r="I5" s="198" t="s">
        <v>15</v>
      </c>
      <c r="J5" s="197" t="s">
        <v>16</v>
      </c>
    </row>
    <row r="6" spans="1:10" ht="72" customHeight="1" thickBot="1">
      <c r="A6" s="102" t="s">
        <v>17</v>
      </c>
      <c r="B6" s="106" t="s">
        <v>18</v>
      </c>
      <c r="C6" s="107" t="s">
        <v>19</v>
      </c>
      <c r="D6" s="108" t="s">
        <v>20</v>
      </c>
      <c r="E6" s="107" t="s">
        <v>21</v>
      </c>
      <c r="F6" s="195"/>
      <c r="G6" s="196"/>
      <c r="H6" s="179"/>
      <c r="I6" s="179"/>
      <c r="J6" s="179"/>
    </row>
    <row r="7" spans="1:10" ht="116" customHeight="1" thickBot="1">
      <c r="A7" s="171" t="s">
        <v>22</v>
      </c>
      <c r="B7" s="172"/>
      <c r="C7" s="173" t="s">
        <v>857</v>
      </c>
      <c r="D7" s="174"/>
      <c r="E7" s="172"/>
      <c r="F7" s="175" t="s">
        <v>23</v>
      </c>
      <c r="G7" s="176"/>
      <c r="H7" s="177"/>
      <c r="I7" s="173" t="s">
        <v>24</v>
      </c>
      <c r="J7" s="172"/>
    </row>
    <row r="8" spans="1:10" ht="15.75" customHeight="1" thickBot="1">
      <c r="A8" s="178" t="s">
        <v>25</v>
      </c>
      <c r="B8" s="180" t="s">
        <v>26</v>
      </c>
      <c r="C8" s="182" t="s">
        <v>27</v>
      </c>
      <c r="D8" s="174"/>
      <c r="E8" s="172"/>
      <c r="F8" s="217" t="s">
        <v>28</v>
      </c>
      <c r="G8" s="194"/>
      <c r="H8" s="218" t="s">
        <v>29</v>
      </c>
      <c r="I8" s="219" t="s">
        <v>30</v>
      </c>
      <c r="J8" s="218" t="s">
        <v>31</v>
      </c>
    </row>
    <row r="9" spans="1:10" ht="15.75" customHeight="1" thickBot="1">
      <c r="A9" s="179"/>
      <c r="B9" s="181"/>
      <c r="C9" s="109" t="s">
        <v>32</v>
      </c>
      <c r="D9" s="110" t="s">
        <v>33</v>
      </c>
      <c r="E9" s="111" t="s">
        <v>34</v>
      </c>
      <c r="F9" s="195"/>
      <c r="G9" s="196"/>
      <c r="H9" s="179"/>
      <c r="I9" s="220"/>
      <c r="J9" s="179"/>
    </row>
    <row r="10" spans="1:10" ht="65" customHeight="1" thickBot="1">
      <c r="A10" s="211" t="s">
        <v>35</v>
      </c>
      <c r="B10" s="213" t="s">
        <v>36</v>
      </c>
      <c r="C10" s="214" t="s">
        <v>37</v>
      </c>
      <c r="D10" s="197" t="s">
        <v>38</v>
      </c>
      <c r="E10" s="197" t="s">
        <v>39</v>
      </c>
      <c r="F10" s="112">
        <v>90</v>
      </c>
      <c r="G10" s="113" t="s">
        <v>40</v>
      </c>
      <c r="H10" s="197" t="s">
        <v>41</v>
      </c>
      <c r="I10" s="197" t="s">
        <v>42</v>
      </c>
      <c r="J10" s="197" t="s">
        <v>43</v>
      </c>
    </row>
    <row r="11" spans="1:10" ht="15.75" customHeight="1" thickBot="1">
      <c r="A11" s="212"/>
      <c r="B11" s="212"/>
      <c r="C11" s="215"/>
      <c r="D11" s="212"/>
      <c r="E11" s="212"/>
      <c r="F11" s="221" t="s">
        <v>44</v>
      </c>
      <c r="G11" s="222"/>
      <c r="H11" s="212"/>
      <c r="I11" s="212"/>
      <c r="J11" s="212"/>
    </row>
    <row r="12" spans="1:10" ht="32.25" customHeight="1" thickBot="1">
      <c r="A12" s="179"/>
      <c r="B12" s="179"/>
      <c r="C12" s="216"/>
      <c r="D12" s="179"/>
      <c r="E12" s="179"/>
      <c r="F12" s="86" t="s">
        <v>858</v>
      </c>
      <c r="G12" s="114" t="s">
        <v>45</v>
      </c>
      <c r="H12" s="179"/>
      <c r="I12" s="179"/>
      <c r="J12" s="179"/>
    </row>
    <row r="13" spans="1:10" ht="90" customHeight="1" thickBot="1">
      <c r="A13" s="224" t="s">
        <v>46</v>
      </c>
      <c r="B13" s="197" t="s">
        <v>47</v>
      </c>
      <c r="C13" s="214" t="s">
        <v>48</v>
      </c>
      <c r="D13" s="197" t="s">
        <v>49</v>
      </c>
      <c r="E13" s="197" t="s">
        <v>39</v>
      </c>
      <c r="F13" s="86">
        <v>75</v>
      </c>
      <c r="G13" s="113" t="s">
        <v>50</v>
      </c>
      <c r="H13" s="197" t="s">
        <v>51</v>
      </c>
      <c r="I13" s="197" t="s">
        <v>52</v>
      </c>
      <c r="J13" s="197" t="s">
        <v>53</v>
      </c>
    </row>
    <row r="14" spans="1:10" ht="15.75" customHeight="1" thickBot="1">
      <c r="A14" s="212"/>
      <c r="B14" s="212"/>
      <c r="C14" s="215"/>
      <c r="D14" s="212"/>
      <c r="E14" s="212"/>
      <c r="F14" s="221" t="s">
        <v>44</v>
      </c>
      <c r="G14" s="222"/>
      <c r="H14" s="212"/>
      <c r="I14" s="212"/>
      <c r="J14" s="212"/>
    </row>
    <row r="15" spans="1:10" ht="102" customHeight="1" thickBot="1">
      <c r="A15" s="179"/>
      <c r="B15" s="179"/>
      <c r="C15" s="216"/>
      <c r="D15" s="179"/>
      <c r="E15" s="179"/>
      <c r="F15" s="89" t="s">
        <v>858</v>
      </c>
      <c r="G15" s="114" t="s">
        <v>54</v>
      </c>
      <c r="H15" s="179"/>
      <c r="I15" s="179"/>
      <c r="J15" s="179"/>
    </row>
    <row r="16" spans="1:10" ht="15.75" customHeight="1" thickBot="1">
      <c r="A16" s="211" t="s">
        <v>55</v>
      </c>
      <c r="B16" s="213" t="s">
        <v>56</v>
      </c>
      <c r="C16" s="223" t="s">
        <v>57</v>
      </c>
      <c r="D16" s="197" t="s">
        <v>58</v>
      </c>
      <c r="E16" s="197" t="s">
        <v>39</v>
      </c>
      <c r="F16" s="86">
        <v>100</v>
      </c>
      <c r="G16" s="115" t="s">
        <v>59</v>
      </c>
      <c r="H16" s="197" t="s">
        <v>60</v>
      </c>
      <c r="I16" s="197" t="s">
        <v>61</v>
      </c>
      <c r="J16" s="197" t="s">
        <v>62</v>
      </c>
    </row>
    <row r="17" spans="1:10" ht="15.75" customHeight="1" thickBot="1">
      <c r="A17" s="212"/>
      <c r="B17" s="212"/>
      <c r="C17" s="212"/>
      <c r="D17" s="212"/>
      <c r="E17" s="212"/>
      <c r="F17" s="221" t="s">
        <v>44</v>
      </c>
      <c r="G17" s="222"/>
      <c r="H17" s="212"/>
      <c r="I17" s="212"/>
      <c r="J17" s="212"/>
    </row>
    <row r="18" spans="1:10" ht="53.25" customHeight="1" thickBot="1">
      <c r="A18" s="212"/>
      <c r="B18" s="179"/>
      <c r="C18" s="179"/>
      <c r="D18" s="179"/>
      <c r="E18" s="179"/>
      <c r="F18" s="116">
        <v>4</v>
      </c>
      <c r="G18" s="117" t="s">
        <v>63</v>
      </c>
      <c r="H18" s="179"/>
      <c r="I18" s="179"/>
      <c r="J18" s="179"/>
    </row>
    <row r="19" spans="1:10" ht="15.75" customHeight="1" thickBot="1">
      <c r="A19" s="212"/>
      <c r="B19" s="197" t="s">
        <v>64</v>
      </c>
      <c r="C19" s="223" t="s">
        <v>65</v>
      </c>
      <c r="D19" s="197" t="s">
        <v>58</v>
      </c>
      <c r="E19" s="197" t="s">
        <v>39</v>
      </c>
      <c r="F19" s="86">
        <v>100</v>
      </c>
      <c r="G19" s="115" t="s">
        <v>59</v>
      </c>
      <c r="H19" s="197" t="s">
        <v>66</v>
      </c>
      <c r="I19" s="197" t="s">
        <v>61</v>
      </c>
      <c r="J19" s="197" t="s">
        <v>67</v>
      </c>
    </row>
    <row r="20" spans="1:10" ht="15.75" customHeight="1" thickBot="1">
      <c r="A20" s="212"/>
      <c r="B20" s="212"/>
      <c r="C20" s="212"/>
      <c r="D20" s="212"/>
      <c r="E20" s="212"/>
      <c r="F20" s="221" t="s">
        <v>44</v>
      </c>
      <c r="G20" s="222"/>
      <c r="H20" s="212"/>
      <c r="I20" s="212"/>
      <c r="J20" s="212"/>
    </row>
    <row r="21" spans="1:10" ht="87" customHeight="1" thickBot="1">
      <c r="A21" s="212"/>
      <c r="B21" s="179"/>
      <c r="C21" s="179"/>
      <c r="D21" s="179"/>
      <c r="E21" s="179"/>
      <c r="F21" s="118">
        <v>6</v>
      </c>
      <c r="G21" s="117" t="s">
        <v>63</v>
      </c>
      <c r="H21" s="179"/>
      <c r="I21" s="179"/>
      <c r="J21" s="179"/>
    </row>
    <row r="22" spans="1:10" ht="66" customHeight="1" thickBot="1">
      <c r="A22" s="212"/>
      <c r="B22" s="213" t="s">
        <v>68</v>
      </c>
      <c r="C22" s="223" t="s">
        <v>69</v>
      </c>
      <c r="D22" s="197" t="s">
        <v>58</v>
      </c>
      <c r="E22" s="197" t="s">
        <v>39</v>
      </c>
      <c r="F22" s="86">
        <v>100</v>
      </c>
      <c r="G22" s="115" t="s">
        <v>59</v>
      </c>
      <c r="H22" s="197" t="s">
        <v>70</v>
      </c>
      <c r="I22" s="197" t="s">
        <v>71</v>
      </c>
      <c r="J22" s="197" t="s">
        <v>72</v>
      </c>
    </row>
    <row r="23" spans="1:10" ht="15.75" customHeight="1" thickBot="1">
      <c r="A23" s="212"/>
      <c r="B23" s="212"/>
      <c r="C23" s="212"/>
      <c r="D23" s="212"/>
      <c r="E23" s="212"/>
      <c r="F23" s="221" t="s">
        <v>44</v>
      </c>
      <c r="G23" s="222"/>
      <c r="H23" s="212"/>
      <c r="I23" s="212"/>
      <c r="J23" s="212"/>
    </row>
    <row r="24" spans="1:10" ht="91.5" customHeight="1" thickBot="1">
      <c r="A24" s="212"/>
      <c r="B24" s="179"/>
      <c r="C24" s="179"/>
      <c r="D24" s="179"/>
      <c r="E24" s="179"/>
      <c r="F24" s="118">
        <v>6</v>
      </c>
      <c r="G24" s="117" t="s">
        <v>63</v>
      </c>
      <c r="H24" s="179"/>
      <c r="I24" s="179"/>
      <c r="J24" s="179"/>
    </row>
    <row r="25" spans="1:10" ht="102" customHeight="1" thickBot="1">
      <c r="A25" s="212"/>
      <c r="B25" s="197" t="s">
        <v>73</v>
      </c>
      <c r="C25" s="223" t="s">
        <v>74</v>
      </c>
      <c r="D25" s="197" t="s">
        <v>58</v>
      </c>
      <c r="E25" s="197" t="s">
        <v>75</v>
      </c>
      <c r="F25" s="86">
        <v>100</v>
      </c>
      <c r="G25" s="115" t="s">
        <v>76</v>
      </c>
      <c r="H25" s="197" t="s">
        <v>77</v>
      </c>
      <c r="I25" s="197" t="s">
        <v>75</v>
      </c>
      <c r="J25" s="197" t="s">
        <v>78</v>
      </c>
    </row>
    <row r="26" spans="1:10" ht="15.75" customHeight="1" thickBot="1">
      <c r="A26" s="212"/>
      <c r="B26" s="212"/>
      <c r="C26" s="212"/>
      <c r="D26" s="212"/>
      <c r="E26" s="212"/>
      <c r="F26" s="221" t="s">
        <v>44</v>
      </c>
      <c r="G26" s="222"/>
      <c r="H26" s="212"/>
      <c r="I26" s="212"/>
      <c r="J26" s="212"/>
    </row>
    <row r="27" spans="1:10" ht="60.75" customHeight="1" thickBot="1">
      <c r="A27" s="179"/>
      <c r="B27" s="179"/>
      <c r="C27" s="179"/>
      <c r="D27" s="179"/>
      <c r="E27" s="179"/>
      <c r="F27" s="118">
        <v>8</v>
      </c>
      <c r="G27" s="117" t="s">
        <v>63</v>
      </c>
      <c r="H27" s="179"/>
      <c r="I27" s="179"/>
      <c r="J27" s="179"/>
    </row>
    <row r="28" spans="1:10" ht="86" customHeight="1" thickBot="1">
      <c r="A28" s="211" t="s">
        <v>79</v>
      </c>
      <c r="B28" s="197" t="s">
        <v>80</v>
      </c>
      <c r="C28" s="197" t="s">
        <v>81</v>
      </c>
      <c r="D28" s="197" t="s">
        <v>58</v>
      </c>
      <c r="E28" s="197" t="s">
        <v>39</v>
      </c>
      <c r="F28" s="86">
        <v>337</v>
      </c>
      <c r="G28" s="114" t="s">
        <v>82</v>
      </c>
      <c r="H28" s="197" t="s">
        <v>83</v>
      </c>
      <c r="I28" s="197" t="s">
        <v>84</v>
      </c>
      <c r="J28" s="197" t="s">
        <v>85</v>
      </c>
    </row>
    <row r="29" spans="1:10" ht="15.75" customHeight="1" thickBot="1">
      <c r="A29" s="212"/>
      <c r="B29" s="212"/>
      <c r="C29" s="212"/>
      <c r="D29" s="212"/>
      <c r="E29" s="212"/>
      <c r="F29" s="225" t="s">
        <v>44</v>
      </c>
      <c r="G29" s="172"/>
      <c r="H29" s="212"/>
      <c r="I29" s="212"/>
      <c r="J29" s="212"/>
    </row>
    <row r="30" spans="1:10" ht="69" customHeight="1" thickBot="1">
      <c r="A30" s="212"/>
      <c r="B30" s="179"/>
      <c r="C30" s="179"/>
      <c r="D30" s="179"/>
      <c r="E30" s="179"/>
      <c r="F30" s="86">
        <v>110</v>
      </c>
      <c r="G30" s="114" t="s">
        <v>86</v>
      </c>
      <c r="H30" s="179"/>
      <c r="I30" s="179"/>
      <c r="J30" s="179"/>
    </row>
    <row r="31" spans="1:10" ht="135" customHeight="1" thickBot="1">
      <c r="A31" s="212"/>
      <c r="B31" s="197" t="s">
        <v>87</v>
      </c>
      <c r="C31" s="197" t="s">
        <v>88</v>
      </c>
      <c r="D31" s="197" t="s">
        <v>58</v>
      </c>
      <c r="E31" s="197" t="s">
        <v>39</v>
      </c>
      <c r="F31" s="86">
        <v>491</v>
      </c>
      <c r="G31" s="114" t="s">
        <v>89</v>
      </c>
      <c r="H31" s="197" t="s">
        <v>90</v>
      </c>
      <c r="I31" s="197" t="s">
        <v>61</v>
      </c>
      <c r="J31" s="197" t="s">
        <v>91</v>
      </c>
    </row>
    <row r="32" spans="1:10" ht="15.75" customHeight="1" thickBot="1">
      <c r="A32" s="212"/>
      <c r="B32" s="212"/>
      <c r="C32" s="212"/>
      <c r="D32" s="212"/>
      <c r="E32" s="212"/>
      <c r="F32" s="225" t="s">
        <v>44</v>
      </c>
      <c r="G32" s="172"/>
      <c r="H32" s="212"/>
      <c r="I32" s="212"/>
      <c r="J32" s="212"/>
    </row>
    <row r="33" spans="1:10" ht="67" customHeight="1" thickBot="1">
      <c r="A33" s="212"/>
      <c r="B33" s="179"/>
      <c r="C33" s="179"/>
      <c r="D33" s="179"/>
      <c r="E33" s="179"/>
      <c r="F33" s="86">
        <v>36</v>
      </c>
      <c r="G33" s="114" t="s">
        <v>92</v>
      </c>
      <c r="H33" s="179"/>
      <c r="I33" s="179"/>
      <c r="J33" s="179"/>
    </row>
    <row r="34" spans="1:10" ht="56" customHeight="1" thickBot="1">
      <c r="A34" s="212"/>
      <c r="B34" s="197" t="s">
        <v>93</v>
      </c>
      <c r="C34" s="197" t="s">
        <v>94</v>
      </c>
      <c r="D34" s="197" t="s">
        <v>58</v>
      </c>
      <c r="E34" s="197" t="s">
        <v>39</v>
      </c>
      <c r="F34" s="86">
        <v>603</v>
      </c>
      <c r="G34" s="114" t="s">
        <v>95</v>
      </c>
      <c r="H34" s="197" t="s">
        <v>96</v>
      </c>
      <c r="I34" s="197" t="s">
        <v>97</v>
      </c>
      <c r="J34" s="197" t="s">
        <v>98</v>
      </c>
    </row>
    <row r="35" spans="1:10" ht="44" customHeight="1" thickBot="1">
      <c r="A35" s="212"/>
      <c r="B35" s="212"/>
      <c r="C35" s="212"/>
      <c r="D35" s="212"/>
      <c r="E35" s="212"/>
      <c r="F35" s="225" t="s">
        <v>44</v>
      </c>
      <c r="G35" s="172"/>
      <c r="H35" s="212"/>
      <c r="I35" s="212"/>
      <c r="J35" s="212"/>
    </row>
    <row r="36" spans="1:10" ht="60" customHeight="1" thickBot="1">
      <c r="A36" s="212"/>
      <c r="B36" s="179"/>
      <c r="C36" s="179"/>
      <c r="D36" s="179"/>
      <c r="E36" s="179"/>
      <c r="F36" s="86">
        <v>155</v>
      </c>
      <c r="G36" s="114" t="s">
        <v>99</v>
      </c>
      <c r="H36" s="179"/>
      <c r="I36" s="179"/>
      <c r="J36" s="179"/>
    </row>
    <row r="37" spans="1:10" ht="70" customHeight="1" thickBot="1">
      <c r="A37" s="212"/>
      <c r="B37" s="197" t="s">
        <v>100</v>
      </c>
      <c r="C37" s="197" t="s">
        <v>101</v>
      </c>
      <c r="D37" s="197" t="s">
        <v>58</v>
      </c>
      <c r="E37" s="197" t="s">
        <v>39</v>
      </c>
      <c r="F37" s="86">
        <v>582</v>
      </c>
      <c r="G37" s="114" t="s">
        <v>102</v>
      </c>
      <c r="H37" s="197" t="s">
        <v>103</v>
      </c>
      <c r="I37" s="197" t="s">
        <v>104</v>
      </c>
      <c r="J37" s="197" t="s">
        <v>105</v>
      </c>
    </row>
    <row r="38" spans="1:10" ht="15.75" customHeight="1" thickBot="1">
      <c r="A38" s="212"/>
      <c r="B38" s="212"/>
      <c r="C38" s="212"/>
      <c r="D38" s="212"/>
      <c r="E38" s="212"/>
      <c r="F38" s="225" t="s">
        <v>44</v>
      </c>
      <c r="G38" s="172"/>
      <c r="H38" s="212"/>
      <c r="I38" s="212"/>
      <c r="J38" s="212"/>
    </row>
    <row r="39" spans="1:10" ht="64" customHeight="1" thickBot="1">
      <c r="A39" s="179"/>
      <c r="B39" s="179"/>
      <c r="C39" s="179"/>
      <c r="D39" s="179"/>
      <c r="E39" s="179"/>
      <c r="F39" s="86">
        <v>50</v>
      </c>
      <c r="G39" s="114" t="s">
        <v>106</v>
      </c>
      <c r="H39" s="179"/>
      <c r="I39" s="179"/>
      <c r="J39" s="179"/>
    </row>
  </sheetData>
  <mergeCells count="110">
    <mergeCell ref="I37:I39"/>
    <mergeCell ref="J37:J39"/>
    <mergeCell ref="F38:G38"/>
    <mergeCell ref="E34:E36"/>
    <mergeCell ref="H34:H36"/>
    <mergeCell ref="I34:I36"/>
    <mergeCell ref="J34:J36"/>
    <mergeCell ref="F35:G35"/>
    <mergeCell ref="B37:B39"/>
    <mergeCell ref="C37:C39"/>
    <mergeCell ref="D37:D39"/>
    <mergeCell ref="E37:E39"/>
    <mergeCell ref="H37:H39"/>
    <mergeCell ref="I28:I30"/>
    <mergeCell ref="J28:J30"/>
    <mergeCell ref="F29:G29"/>
    <mergeCell ref="B31:B33"/>
    <mergeCell ref="C31:C33"/>
    <mergeCell ref="D31:D33"/>
    <mergeCell ref="E31:E33"/>
    <mergeCell ref="H31:H33"/>
    <mergeCell ref="I31:I33"/>
    <mergeCell ref="J31:J33"/>
    <mergeCell ref="A28:A39"/>
    <mergeCell ref="B28:B30"/>
    <mergeCell ref="C28:C30"/>
    <mergeCell ref="D28:D30"/>
    <mergeCell ref="E28:E30"/>
    <mergeCell ref="H28:H30"/>
    <mergeCell ref="F32:G32"/>
    <mergeCell ref="B34:B36"/>
    <mergeCell ref="C34:C36"/>
    <mergeCell ref="D34:D36"/>
    <mergeCell ref="J19:J21"/>
    <mergeCell ref="F20:G20"/>
    <mergeCell ref="J22:J24"/>
    <mergeCell ref="F23:G23"/>
    <mergeCell ref="B25:B27"/>
    <mergeCell ref="C25:C27"/>
    <mergeCell ref="D25:D27"/>
    <mergeCell ref="E25:E27"/>
    <mergeCell ref="H25:H27"/>
    <mergeCell ref="I25:I27"/>
    <mergeCell ref="J25:J27"/>
    <mergeCell ref="F26:G26"/>
    <mergeCell ref="B22:B24"/>
    <mergeCell ref="C22:C24"/>
    <mergeCell ref="D22:D24"/>
    <mergeCell ref="E22:E24"/>
    <mergeCell ref="H22:H24"/>
    <mergeCell ref="I22:I24"/>
    <mergeCell ref="I13:I15"/>
    <mergeCell ref="J13:J15"/>
    <mergeCell ref="F14:G14"/>
    <mergeCell ref="A16:A27"/>
    <mergeCell ref="B16:B18"/>
    <mergeCell ref="C16:C18"/>
    <mergeCell ref="D16:D18"/>
    <mergeCell ref="E16:E18"/>
    <mergeCell ref="H16:H18"/>
    <mergeCell ref="I16:I18"/>
    <mergeCell ref="A13:A15"/>
    <mergeCell ref="B13:B15"/>
    <mergeCell ref="C13:C15"/>
    <mergeCell ref="D13:D15"/>
    <mergeCell ref="E13:E15"/>
    <mergeCell ref="H13:H15"/>
    <mergeCell ref="J16:J18"/>
    <mergeCell ref="F17:G17"/>
    <mergeCell ref="B19:B21"/>
    <mergeCell ref="C19:C21"/>
    <mergeCell ref="D19:D21"/>
    <mergeCell ref="E19:E21"/>
    <mergeCell ref="H19:H21"/>
    <mergeCell ref="I19:I21"/>
    <mergeCell ref="J8:J9"/>
    <mergeCell ref="A10:A12"/>
    <mergeCell ref="B10:B12"/>
    <mergeCell ref="C10:C12"/>
    <mergeCell ref="D10:D12"/>
    <mergeCell ref="E10:E12"/>
    <mergeCell ref="H10:H12"/>
    <mergeCell ref="I10:I12"/>
    <mergeCell ref="J10:J12"/>
    <mergeCell ref="F11:G11"/>
    <mergeCell ref="A8:A9"/>
    <mergeCell ref="B8:B9"/>
    <mergeCell ref="C8:E8"/>
    <mergeCell ref="F8:G9"/>
    <mergeCell ref="H8:H9"/>
    <mergeCell ref="I8:I9"/>
    <mergeCell ref="A7:B7"/>
    <mergeCell ref="C7:E7"/>
    <mergeCell ref="F7:H7"/>
    <mergeCell ref="I7:J7"/>
    <mergeCell ref="B4:C4"/>
    <mergeCell ref="F4:G4"/>
    <mergeCell ref="A5:B5"/>
    <mergeCell ref="C5:E5"/>
    <mergeCell ref="F5:G6"/>
    <mergeCell ref="H5:H6"/>
    <mergeCell ref="A1:B2"/>
    <mergeCell ref="C1:G2"/>
    <mergeCell ref="I1:J1"/>
    <mergeCell ref="I2:J2"/>
    <mergeCell ref="A3:D3"/>
    <mergeCell ref="E3:G3"/>
    <mergeCell ref="H3:J3"/>
    <mergeCell ref="I5:I6"/>
    <mergeCell ref="J5:J6"/>
  </mergeCells>
  <conditionalFormatting sqref="F12">
    <cfRule type="cellIs" dxfId="284" priority="1" operator="greaterThan">
      <formula>$F$10</formula>
    </cfRule>
    <cfRule type="cellIs" dxfId="283" priority="2" operator="lessThan">
      <formula>$F$10</formula>
    </cfRule>
  </conditionalFormatting>
  <conditionalFormatting sqref="F15">
    <cfRule type="cellIs" dxfId="282" priority="3" stopIfTrue="1" operator="greaterThan">
      <formula>$F$13</formula>
    </cfRule>
    <cfRule type="cellIs" dxfId="281" priority="4" operator="lessThan">
      <formula>$F$13</formula>
    </cfRule>
  </conditionalFormatting>
  <conditionalFormatting sqref="F18">
    <cfRule type="cellIs" dxfId="280" priority="5" operator="lessThan">
      <formula>80</formula>
    </cfRule>
    <cfRule type="cellIs" dxfId="279" priority="6" operator="greaterThanOrEqual">
      <formula>80</formula>
    </cfRule>
  </conditionalFormatting>
  <conditionalFormatting sqref="F21">
    <cfRule type="cellIs" dxfId="278" priority="7" operator="lessThan">
      <formula>80</formula>
    </cfRule>
    <cfRule type="cellIs" dxfId="277" priority="8" operator="greaterThanOrEqual">
      <formula>80</formula>
    </cfRule>
  </conditionalFormatting>
  <conditionalFormatting sqref="F24">
    <cfRule type="cellIs" dxfId="276" priority="9" operator="lessThan">
      <formula>80</formula>
    </cfRule>
    <cfRule type="cellIs" dxfId="275" priority="10" operator="greaterThanOrEqual">
      <formula>80</formula>
    </cfRule>
  </conditionalFormatting>
  <conditionalFormatting sqref="F27">
    <cfRule type="cellIs" dxfId="274" priority="11" operator="lessThan">
      <formula>80</formula>
    </cfRule>
    <cfRule type="cellIs" dxfId="273" priority="12" operator="greaterThanOrEqual">
      <formula>80</formula>
    </cfRule>
  </conditionalFormatting>
  <conditionalFormatting sqref="F30">
    <cfRule type="cellIs" dxfId="272" priority="13" operator="lessThan">
      <formula>$F$28</formula>
    </cfRule>
    <cfRule type="cellIs" dxfId="271" priority="14" stopIfTrue="1" operator="greaterThanOrEqual">
      <formula>$F$28</formula>
    </cfRule>
  </conditionalFormatting>
  <conditionalFormatting sqref="F33">
    <cfRule type="cellIs" dxfId="270" priority="15" operator="lessThan">
      <formula>$F$22</formula>
    </cfRule>
    <cfRule type="cellIs" dxfId="269" priority="16" operator="greaterThanOrEqual">
      <formula>$F$22</formula>
    </cfRule>
  </conditionalFormatting>
  <conditionalFormatting sqref="F36">
    <cfRule type="cellIs" dxfId="268" priority="17" operator="lessThan">
      <formula>$F$34</formula>
    </cfRule>
    <cfRule type="cellIs" dxfId="267" priority="18" operator="greaterThanOrEqual">
      <formula>$F$34</formula>
    </cfRule>
  </conditionalFormatting>
  <conditionalFormatting sqref="F39">
    <cfRule type="cellIs" dxfId="266" priority="19" operator="lessThan">
      <formula>$F$22</formula>
    </cfRule>
    <cfRule type="cellIs" dxfId="265" priority="20" operator="greaterThanOrEqual">
      <formula>$F$22</formula>
    </cfRule>
  </conditionalFormatting>
  <conditionalFormatting sqref="J4">
    <cfRule type="cellIs" dxfId="264" priority="21" operator="lessThan">
      <formula>$H$4</formula>
    </cfRule>
    <cfRule type="cellIs" dxfId="263" priority="22" operator="greaterThan">
      <formula>$H$4</formula>
    </cfRule>
  </conditionalFormatting>
  <pageMargins left="0.7" right="0.7" top="0.75" bottom="0.75" header="0" footer="0"/>
  <pageSetup scale="32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>
    <tabColor rgb="FF385623"/>
    <pageSetUpPr fitToPage="1"/>
  </sheetPr>
  <dimension ref="A1:Z1000"/>
  <sheetViews>
    <sheetView workbookViewId="0"/>
  </sheetViews>
  <sheetFormatPr baseColWidth="10" defaultColWidth="11.1640625" defaultRowHeight="15" customHeight="1"/>
  <cols>
    <col min="1" max="1" width="31.6640625" customWidth="1"/>
    <col min="2" max="2" width="35.1640625" customWidth="1"/>
    <col min="3" max="3" width="39.33203125" customWidth="1"/>
    <col min="4" max="4" width="31.5" customWidth="1"/>
    <col min="5" max="5" width="27.6640625" customWidth="1"/>
    <col min="6" max="6" width="21.1640625" customWidth="1"/>
    <col min="7" max="7" width="32.6640625" customWidth="1"/>
    <col min="8" max="8" width="26.5" customWidth="1"/>
    <col min="9" max="9" width="26.6640625" customWidth="1"/>
    <col min="10" max="10" width="38.83203125" customWidth="1"/>
    <col min="11" max="26" width="10.5" customWidth="1"/>
  </cols>
  <sheetData>
    <row r="1" spans="1:26" ht="72.75" customHeight="1">
      <c r="A1" s="277"/>
      <c r="B1" s="278"/>
      <c r="C1" s="277" t="s">
        <v>399</v>
      </c>
      <c r="D1" s="281"/>
      <c r="E1" s="281"/>
      <c r="F1" s="281"/>
      <c r="G1" s="282"/>
      <c r="H1" s="7" t="s">
        <v>166</v>
      </c>
      <c r="I1" s="285" t="s">
        <v>167</v>
      </c>
      <c r="J1" s="286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20" customHeight="1">
      <c r="A2" s="279"/>
      <c r="B2" s="280"/>
      <c r="C2" s="279"/>
      <c r="D2" s="283"/>
      <c r="E2" s="283"/>
      <c r="F2" s="283"/>
      <c r="G2" s="284"/>
      <c r="H2" s="7" t="s">
        <v>168</v>
      </c>
      <c r="I2" s="287">
        <v>43691</v>
      </c>
      <c r="J2" s="286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5.75" customHeight="1">
      <c r="A3" s="288" t="s">
        <v>4</v>
      </c>
      <c r="B3" s="289"/>
      <c r="C3" s="289"/>
      <c r="D3" s="289"/>
      <c r="E3" s="289"/>
      <c r="F3" s="317"/>
      <c r="G3" s="30"/>
      <c r="H3" s="290">
        <v>701</v>
      </c>
      <c r="I3" s="289"/>
      <c r="J3" s="286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5.75" customHeight="1">
      <c r="A4" s="25" t="s">
        <v>169</v>
      </c>
      <c r="B4" s="293" t="s">
        <v>400</v>
      </c>
      <c r="C4" s="294"/>
      <c r="D4" s="26" t="s">
        <v>8</v>
      </c>
      <c r="E4" s="11">
        <v>2024</v>
      </c>
      <c r="F4" s="298" t="s">
        <v>171</v>
      </c>
      <c r="G4" s="292"/>
      <c r="H4" s="12">
        <v>32100000</v>
      </c>
      <c r="I4" s="13" t="s">
        <v>10</v>
      </c>
      <c r="J4" s="1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5.75" customHeight="1">
      <c r="A5" s="295" t="s">
        <v>11</v>
      </c>
      <c r="B5" s="296"/>
      <c r="C5" s="342" t="s">
        <v>401</v>
      </c>
      <c r="D5" s="289"/>
      <c r="E5" s="286"/>
      <c r="F5" s="308" t="s">
        <v>174</v>
      </c>
      <c r="G5" s="286"/>
      <c r="H5" s="299" t="s">
        <v>402</v>
      </c>
      <c r="I5" s="289"/>
      <c r="J5" s="286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>
      <c r="A6" s="1" t="s">
        <v>17</v>
      </c>
      <c r="B6" s="15" t="s">
        <v>18</v>
      </c>
      <c r="C6" s="16" t="s">
        <v>403</v>
      </c>
      <c r="D6" s="2" t="s">
        <v>20</v>
      </c>
      <c r="E6" s="16" t="s">
        <v>404</v>
      </c>
      <c r="F6" s="300" t="s">
        <v>13</v>
      </c>
      <c r="G6" s="286"/>
      <c r="H6" s="16" t="s">
        <v>405</v>
      </c>
      <c r="I6" s="2" t="s">
        <v>15</v>
      </c>
      <c r="J6" s="16" t="s">
        <v>406</v>
      </c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48.75" customHeight="1">
      <c r="A7" s="301" t="s">
        <v>22</v>
      </c>
      <c r="B7" s="302"/>
      <c r="C7" s="303" t="s">
        <v>407</v>
      </c>
      <c r="D7" s="289"/>
      <c r="E7" s="286"/>
      <c r="F7" s="335" t="s">
        <v>23</v>
      </c>
      <c r="G7" s="332"/>
      <c r="H7" s="296"/>
      <c r="I7" s="303" t="s">
        <v>225</v>
      </c>
      <c r="J7" s="286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15.75" customHeight="1">
      <c r="A8" s="309" t="s">
        <v>25</v>
      </c>
      <c r="B8" s="310" t="s">
        <v>26</v>
      </c>
      <c r="C8" s="312" t="s">
        <v>27</v>
      </c>
      <c r="D8" s="289"/>
      <c r="E8" s="286"/>
      <c r="F8" s="313" t="s">
        <v>28</v>
      </c>
      <c r="G8" s="282"/>
      <c r="H8" s="306" t="s">
        <v>29</v>
      </c>
      <c r="I8" s="304" t="s">
        <v>30</v>
      </c>
      <c r="J8" s="306" t="s">
        <v>31</v>
      </c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15.75" customHeight="1">
      <c r="A9" s="307"/>
      <c r="B9" s="311"/>
      <c r="C9" s="17" t="s">
        <v>32</v>
      </c>
      <c r="D9" s="18" t="s">
        <v>33</v>
      </c>
      <c r="E9" s="19" t="s">
        <v>34</v>
      </c>
      <c r="F9" s="279"/>
      <c r="G9" s="284"/>
      <c r="H9" s="307"/>
      <c r="I9" s="305"/>
      <c r="J9" s="307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ht="15.75" customHeight="1">
      <c r="A10" s="318" t="s">
        <v>35</v>
      </c>
      <c r="B10" s="314" t="s">
        <v>408</v>
      </c>
      <c r="C10" s="319" t="s">
        <v>112</v>
      </c>
      <c r="D10" s="322" t="s">
        <v>113</v>
      </c>
      <c r="E10" s="322" t="s">
        <v>39</v>
      </c>
      <c r="F10" s="3">
        <v>68.39</v>
      </c>
      <c r="G10" s="4" t="s">
        <v>291</v>
      </c>
      <c r="H10" s="314" t="s">
        <v>292</v>
      </c>
      <c r="I10" s="314" t="s">
        <v>293</v>
      </c>
      <c r="J10" s="314" t="s">
        <v>294</v>
      </c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36" customHeight="1">
      <c r="A11" s="315"/>
      <c r="B11" s="315"/>
      <c r="C11" s="320"/>
      <c r="D11" s="315"/>
      <c r="E11" s="315"/>
      <c r="F11" s="348" t="s">
        <v>44</v>
      </c>
      <c r="G11" s="317"/>
      <c r="H11" s="315"/>
      <c r="I11" s="315"/>
      <c r="J11" s="315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5.75" customHeight="1">
      <c r="A12" s="307"/>
      <c r="B12" s="307"/>
      <c r="C12" s="321"/>
      <c r="D12" s="307"/>
      <c r="E12" s="307"/>
      <c r="F12" s="20"/>
      <c r="G12" s="4" t="s">
        <v>295</v>
      </c>
      <c r="H12" s="307"/>
      <c r="I12" s="307"/>
      <c r="J12" s="307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5.75" customHeight="1">
      <c r="A13" s="324" t="s">
        <v>46</v>
      </c>
      <c r="B13" s="323" t="s">
        <v>409</v>
      </c>
      <c r="C13" s="319" t="s">
        <v>410</v>
      </c>
      <c r="D13" s="322" t="s">
        <v>411</v>
      </c>
      <c r="E13" s="322" t="s">
        <v>39</v>
      </c>
      <c r="F13" s="3">
        <v>90</v>
      </c>
      <c r="G13" s="4" t="s">
        <v>412</v>
      </c>
      <c r="H13" s="314" t="s">
        <v>413</v>
      </c>
      <c r="I13" s="314" t="s">
        <v>414</v>
      </c>
      <c r="J13" s="314" t="s">
        <v>415</v>
      </c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15.75" customHeight="1">
      <c r="A14" s="315"/>
      <c r="B14" s="315"/>
      <c r="C14" s="320"/>
      <c r="D14" s="315"/>
      <c r="E14" s="315"/>
      <c r="F14" s="348" t="s">
        <v>44</v>
      </c>
      <c r="G14" s="317"/>
      <c r="H14" s="315"/>
      <c r="I14" s="315"/>
      <c r="J14" s="315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5.75" customHeight="1">
      <c r="A15" s="307"/>
      <c r="B15" s="307"/>
      <c r="C15" s="321"/>
      <c r="D15" s="307"/>
      <c r="E15" s="307"/>
      <c r="F15" s="20"/>
      <c r="G15" s="28" t="s">
        <v>416</v>
      </c>
      <c r="H15" s="307"/>
      <c r="I15" s="307"/>
      <c r="J15" s="307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5.75" customHeight="1">
      <c r="A16" s="325" t="s">
        <v>55</v>
      </c>
      <c r="B16" s="314" t="s">
        <v>417</v>
      </c>
      <c r="C16" s="322" t="s">
        <v>418</v>
      </c>
      <c r="D16" s="322" t="s">
        <v>411</v>
      </c>
      <c r="E16" s="322" t="s">
        <v>39</v>
      </c>
      <c r="F16" s="3">
        <v>90</v>
      </c>
      <c r="G16" s="4" t="s">
        <v>419</v>
      </c>
      <c r="H16" s="314" t="s">
        <v>420</v>
      </c>
      <c r="I16" s="314" t="s">
        <v>421</v>
      </c>
      <c r="J16" s="314" t="s">
        <v>422</v>
      </c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5.75" customHeight="1">
      <c r="A17" s="326"/>
      <c r="B17" s="315"/>
      <c r="C17" s="315"/>
      <c r="D17" s="315"/>
      <c r="E17" s="315"/>
      <c r="F17" s="348" t="s">
        <v>44</v>
      </c>
      <c r="G17" s="317"/>
      <c r="H17" s="315"/>
      <c r="I17" s="315"/>
      <c r="J17" s="315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57.75" customHeight="1">
      <c r="A18" s="326"/>
      <c r="B18" s="307"/>
      <c r="C18" s="307"/>
      <c r="D18" s="307"/>
      <c r="E18" s="307"/>
      <c r="F18" s="20"/>
      <c r="G18" s="28" t="s">
        <v>423</v>
      </c>
      <c r="H18" s="307"/>
      <c r="I18" s="307"/>
      <c r="J18" s="307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43.5" customHeight="1">
      <c r="A19" s="326"/>
      <c r="B19" s="314" t="s">
        <v>424</v>
      </c>
      <c r="C19" s="322" t="s">
        <v>425</v>
      </c>
      <c r="D19" s="322" t="s">
        <v>426</v>
      </c>
      <c r="E19" s="322" t="s">
        <v>39</v>
      </c>
      <c r="F19" s="21"/>
      <c r="G19" s="28" t="s">
        <v>427</v>
      </c>
      <c r="H19" s="314" t="s">
        <v>428</v>
      </c>
      <c r="I19" s="314" t="s">
        <v>429</v>
      </c>
      <c r="J19" s="314" t="s">
        <v>430</v>
      </c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5.75" customHeight="1">
      <c r="A20" s="326"/>
      <c r="B20" s="315"/>
      <c r="C20" s="315"/>
      <c r="D20" s="315"/>
      <c r="E20" s="315"/>
      <c r="F20" s="348" t="s">
        <v>44</v>
      </c>
      <c r="G20" s="317"/>
      <c r="H20" s="315"/>
      <c r="I20" s="315"/>
      <c r="J20" s="315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326"/>
      <c r="B21" s="307"/>
      <c r="C21" s="307"/>
      <c r="D21" s="307"/>
      <c r="E21" s="307"/>
      <c r="F21" s="20"/>
      <c r="G21" s="28" t="s">
        <v>431</v>
      </c>
      <c r="H21" s="307"/>
      <c r="I21" s="307"/>
      <c r="J21" s="307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5.75" customHeight="1">
      <c r="A22" s="326"/>
      <c r="B22" s="314" t="s">
        <v>432</v>
      </c>
      <c r="C22" s="314" t="s">
        <v>433</v>
      </c>
      <c r="D22" s="314" t="s">
        <v>426</v>
      </c>
      <c r="E22" s="314" t="s">
        <v>39</v>
      </c>
      <c r="F22" s="21"/>
      <c r="G22" s="4" t="s">
        <v>434</v>
      </c>
      <c r="H22" s="314" t="s">
        <v>435</v>
      </c>
      <c r="I22" s="314" t="s">
        <v>207</v>
      </c>
      <c r="J22" s="314" t="s">
        <v>436</v>
      </c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5.75" customHeight="1">
      <c r="A23" s="326"/>
      <c r="B23" s="315"/>
      <c r="C23" s="315"/>
      <c r="D23" s="315"/>
      <c r="E23" s="315"/>
      <c r="F23" s="348" t="s">
        <v>44</v>
      </c>
      <c r="G23" s="317"/>
      <c r="H23" s="315"/>
      <c r="I23" s="315"/>
      <c r="J23" s="315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81" customHeight="1">
      <c r="A24" s="326"/>
      <c r="B24" s="307"/>
      <c r="C24" s="307"/>
      <c r="D24" s="307"/>
      <c r="E24" s="307"/>
      <c r="F24" s="20"/>
      <c r="G24" s="4" t="s">
        <v>437</v>
      </c>
      <c r="H24" s="307"/>
      <c r="I24" s="307"/>
      <c r="J24" s="307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5.75" customHeight="1">
      <c r="A25" s="326"/>
      <c r="B25" s="314" t="s">
        <v>438</v>
      </c>
      <c r="C25" s="314" t="s">
        <v>439</v>
      </c>
      <c r="D25" s="314" t="s">
        <v>426</v>
      </c>
      <c r="E25" s="314" t="s">
        <v>39</v>
      </c>
      <c r="F25" s="21"/>
      <c r="G25" s="28" t="s">
        <v>440</v>
      </c>
      <c r="H25" s="314" t="s">
        <v>441</v>
      </c>
      <c r="I25" s="314" t="s">
        <v>442</v>
      </c>
      <c r="J25" s="314" t="s">
        <v>443</v>
      </c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5.75" customHeight="1">
      <c r="A26" s="326"/>
      <c r="B26" s="315"/>
      <c r="C26" s="315"/>
      <c r="D26" s="315"/>
      <c r="E26" s="315"/>
      <c r="F26" s="348" t="s">
        <v>44</v>
      </c>
      <c r="G26" s="317"/>
      <c r="H26" s="315"/>
      <c r="I26" s="315"/>
      <c r="J26" s="315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84" customHeight="1">
      <c r="A27" s="326"/>
      <c r="B27" s="307"/>
      <c r="C27" s="307"/>
      <c r="D27" s="307"/>
      <c r="E27" s="307"/>
      <c r="F27" s="20"/>
      <c r="G27" s="28" t="s">
        <v>444</v>
      </c>
      <c r="H27" s="307"/>
      <c r="I27" s="307"/>
      <c r="J27" s="307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46.5" customHeight="1">
      <c r="A28" s="326"/>
      <c r="B28" s="314" t="s">
        <v>445</v>
      </c>
      <c r="C28" s="322" t="s">
        <v>446</v>
      </c>
      <c r="D28" s="322" t="s">
        <v>200</v>
      </c>
      <c r="E28" s="322" t="s">
        <v>39</v>
      </c>
      <c r="F28" s="21"/>
      <c r="G28" s="4" t="s">
        <v>447</v>
      </c>
      <c r="H28" s="314" t="s">
        <v>448</v>
      </c>
      <c r="I28" s="314" t="s">
        <v>449</v>
      </c>
      <c r="J28" s="314" t="s">
        <v>450</v>
      </c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43.5" customHeight="1">
      <c r="A29" s="326"/>
      <c r="B29" s="315"/>
      <c r="C29" s="315"/>
      <c r="D29" s="315"/>
      <c r="E29" s="315"/>
      <c r="F29" s="348" t="s">
        <v>44</v>
      </c>
      <c r="G29" s="317"/>
      <c r="H29" s="315"/>
      <c r="I29" s="315"/>
      <c r="J29" s="315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48.75" customHeight="1">
      <c r="A30" s="326"/>
      <c r="B30" s="307"/>
      <c r="C30" s="307"/>
      <c r="D30" s="307"/>
      <c r="E30" s="307"/>
      <c r="F30" s="20"/>
      <c r="G30" s="4" t="s">
        <v>451</v>
      </c>
      <c r="H30" s="307"/>
      <c r="I30" s="307"/>
      <c r="J30" s="307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40.5" customHeight="1">
      <c r="A31" s="326"/>
      <c r="B31" s="314" t="s">
        <v>452</v>
      </c>
      <c r="C31" s="322" t="s">
        <v>453</v>
      </c>
      <c r="D31" s="322" t="s">
        <v>426</v>
      </c>
      <c r="E31" s="322" t="s">
        <v>39</v>
      </c>
      <c r="F31" s="21"/>
      <c r="G31" s="28" t="s">
        <v>454</v>
      </c>
      <c r="H31" s="314" t="s">
        <v>455</v>
      </c>
      <c r="I31" s="314" t="s">
        <v>426</v>
      </c>
      <c r="J31" s="314" t="s">
        <v>456</v>
      </c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5.75" customHeight="1">
      <c r="A32" s="326"/>
      <c r="B32" s="315"/>
      <c r="C32" s="315"/>
      <c r="D32" s="315"/>
      <c r="E32" s="315"/>
      <c r="F32" s="348" t="s">
        <v>44</v>
      </c>
      <c r="G32" s="317"/>
      <c r="H32" s="315"/>
      <c r="I32" s="315"/>
      <c r="J32" s="315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67.5" customHeight="1">
      <c r="A33" s="327"/>
      <c r="B33" s="307"/>
      <c r="C33" s="307"/>
      <c r="D33" s="307"/>
      <c r="E33" s="307"/>
      <c r="F33" s="20"/>
      <c r="G33" s="28" t="s">
        <v>457</v>
      </c>
      <c r="H33" s="307"/>
      <c r="I33" s="307"/>
      <c r="J33" s="307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5.75" customHeight="1">
      <c r="A34" s="318" t="s">
        <v>79</v>
      </c>
      <c r="B34" s="314" t="s">
        <v>458</v>
      </c>
      <c r="C34" s="322" t="s">
        <v>459</v>
      </c>
      <c r="D34" s="322" t="s">
        <v>207</v>
      </c>
      <c r="E34" s="322" t="s">
        <v>39</v>
      </c>
      <c r="F34" s="21"/>
      <c r="G34" s="4" t="s">
        <v>460</v>
      </c>
      <c r="H34" s="314" t="s">
        <v>461</v>
      </c>
      <c r="I34" s="314" t="s">
        <v>207</v>
      </c>
      <c r="J34" s="314" t="s">
        <v>462</v>
      </c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5.75" customHeight="1">
      <c r="A35" s="315"/>
      <c r="B35" s="315"/>
      <c r="C35" s="315"/>
      <c r="D35" s="315"/>
      <c r="E35" s="315"/>
      <c r="F35" s="349" t="s">
        <v>44</v>
      </c>
      <c r="G35" s="317"/>
      <c r="H35" s="315"/>
      <c r="I35" s="315"/>
      <c r="J35" s="315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45" customHeight="1">
      <c r="A36" s="315"/>
      <c r="B36" s="337"/>
      <c r="C36" s="337"/>
      <c r="D36" s="315"/>
      <c r="E36" s="315"/>
      <c r="F36" s="8"/>
      <c r="G36" s="4" t="s">
        <v>463</v>
      </c>
      <c r="H36" s="307"/>
      <c r="I36" s="307"/>
      <c r="J36" s="307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5.75" customHeight="1">
      <c r="A37" s="315"/>
      <c r="B37" s="314" t="s">
        <v>464</v>
      </c>
      <c r="C37" s="314" t="s">
        <v>465</v>
      </c>
      <c r="D37" s="315"/>
      <c r="E37" s="315"/>
      <c r="F37" s="21"/>
      <c r="G37" s="4" t="s">
        <v>466</v>
      </c>
      <c r="H37" s="314" t="s">
        <v>467</v>
      </c>
      <c r="I37" s="314" t="s">
        <v>207</v>
      </c>
      <c r="J37" s="314" t="s">
        <v>468</v>
      </c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5.75" customHeight="1">
      <c r="A38" s="315"/>
      <c r="B38" s="315"/>
      <c r="C38" s="315"/>
      <c r="D38" s="315"/>
      <c r="E38" s="315"/>
      <c r="F38" s="349" t="s">
        <v>44</v>
      </c>
      <c r="G38" s="317"/>
      <c r="H38" s="315"/>
      <c r="I38" s="315"/>
      <c r="J38" s="315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40.5" customHeight="1">
      <c r="A39" s="315"/>
      <c r="B39" s="307"/>
      <c r="C39" s="307"/>
      <c r="D39" s="315"/>
      <c r="E39" s="315"/>
      <c r="F39" s="22"/>
      <c r="G39" s="4" t="s">
        <v>469</v>
      </c>
      <c r="H39" s="307"/>
      <c r="I39" s="307"/>
      <c r="J39" s="307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5.75" customHeight="1">
      <c r="A40" s="315"/>
      <c r="B40" s="314" t="s">
        <v>470</v>
      </c>
      <c r="C40" s="314" t="s">
        <v>471</v>
      </c>
      <c r="D40" s="315"/>
      <c r="E40" s="315"/>
      <c r="F40" s="21"/>
      <c r="G40" s="4" t="s">
        <v>472</v>
      </c>
      <c r="H40" s="314" t="s">
        <v>473</v>
      </c>
      <c r="I40" s="314" t="s">
        <v>207</v>
      </c>
      <c r="J40" s="314" t="s">
        <v>474</v>
      </c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5.75" customHeight="1">
      <c r="A41" s="315"/>
      <c r="B41" s="315"/>
      <c r="C41" s="315"/>
      <c r="D41" s="315"/>
      <c r="E41" s="315"/>
      <c r="F41" s="349" t="s">
        <v>44</v>
      </c>
      <c r="G41" s="317"/>
      <c r="H41" s="315"/>
      <c r="I41" s="315"/>
      <c r="J41" s="315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81.75" customHeight="1">
      <c r="A42" s="315"/>
      <c r="B42" s="307"/>
      <c r="C42" s="307"/>
      <c r="D42" s="315"/>
      <c r="E42" s="315"/>
      <c r="F42" s="22"/>
      <c r="G42" s="4" t="s">
        <v>475</v>
      </c>
      <c r="H42" s="307"/>
      <c r="I42" s="307"/>
      <c r="J42" s="307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5.75" customHeight="1">
      <c r="A43" s="315"/>
      <c r="B43" s="314" t="s">
        <v>476</v>
      </c>
      <c r="C43" s="314" t="s">
        <v>477</v>
      </c>
      <c r="D43" s="315"/>
      <c r="E43" s="315"/>
      <c r="F43" s="21"/>
      <c r="G43" s="4" t="s">
        <v>472</v>
      </c>
      <c r="H43" s="314" t="s">
        <v>478</v>
      </c>
      <c r="I43" s="314" t="s">
        <v>329</v>
      </c>
      <c r="J43" s="314" t="s">
        <v>479</v>
      </c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5.75" customHeight="1">
      <c r="A44" s="315"/>
      <c r="B44" s="315"/>
      <c r="C44" s="315"/>
      <c r="D44" s="315"/>
      <c r="E44" s="315"/>
      <c r="F44" s="349" t="s">
        <v>44</v>
      </c>
      <c r="G44" s="317"/>
      <c r="H44" s="315"/>
      <c r="I44" s="315"/>
      <c r="J44" s="315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315"/>
      <c r="B45" s="307"/>
      <c r="C45" s="307"/>
      <c r="D45" s="315"/>
      <c r="E45" s="315"/>
      <c r="F45" s="22"/>
      <c r="G45" s="4" t="s">
        <v>475</v>
      </c>
      <c r="H45" s="307"/>
      <c r="I45" s="307"/>
      <c r="J45" s="307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5.75" customHeight="1">
      <c r="A46" s="315"/>
      <c r="B46" s="314" t="s">
        <v>480</v>
      </c>
      <c r="C46" s="322" t="s">
        <v>481</v>
      </c>
      <c r="D46" s="315"/>
      <c r="E46" s="315"/>
      <c r="F46" s="21"/>
      <c r="G46" s="4" t="s">
        <v>482</v>
      </c>
      <c r="H46" s="314" t="s">
        <v>483</v>
      </c>
      <c r="I46" s="314" t="s">
        <v>207</v>
      </c>
      <c r="J46" s="314" t="s">
        <v>484</v>
      </c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5.75" customHeight="1">
      <c r="A47" s="315"/>
      <c r="B47" s="315"/>
      <c r="C47" s="315"/>
      <c r="D47" s="315"/>
      <c r="E47" s="315"/>
      <c r="F47" s="349" t="s">
        <v>44</v>
      </c>
      <c r="G47" s="317"/>
      <c r="H47" s="315"/>
      <c r="I47" s="315"/>
      <c r="J47" s="315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5.75" customHeight="1">
      <c r="A48" s="315"/>
      <c r="B48" s="307"/>
      <c r="C48" s="307"/>
      <c r="D48" s="315"/>
      <c r="E48" s="315"/>
      <c r="F48" s="22"/>
      <c r="G48" s="4" t="s">
        <v>485</v>
      </c>
      <c r="H48" s="307"/>
      <c r="I48" s="307"/>
      <c r="J48" s="307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5.75" customHeight="1">
      <c r="A49" s="315"/>
      <c r="B49" s="314" t="s">
        <v>486</v>
      </c>
      <c r="C49" s="314" t="s">
        <v>487</v>
      </c>
      <c r="D49" s="315"/>
      <c r="E49" s="315"/>
      <c r="F49" s="21"/>
      <c r="G49" s="4" t="s">
        <v>488</v>
      </c>
      <c r="H49" s="314" t="s">
        <v>489</v>
      </c>
      <c r="I49" s="314" t="s">
        <v>490</v>
      </c>
      <c r="J49" s="314" t="s">
        <v>491</v>
      </c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5.75" customHeight="1">
      <c r="A50" s="315"/>
      <c r="B50" s="315"/>
      <c r="C50" s="315"/>
      <c r="D50" s="315"/>
      <c r="E50" s="315"/>
      <c r="F50" s="349" t="s">
        <v>44</v>
      </c>
      <c r="G50" s="317"/>
      <c r="H50" s="315"/>
      <c r="I50" s="315"/>
      <c r="J50" s="315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315"/>
      <c r="B51" s="307"/>
      <c r="C51" s="307"/>
      <c r="D51" s="315"/>
      <c r="E51" s="315"/>
      <c r="F51" s="22"/>
      <c r="G51" s="4" t="s">
        <v>492</v>
      </c>
      <c r="H51" s="307"/>
      <c r="I51" s="307"/>
      <c r="J51" s="307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40.5" customHeight="1">
      <c r="A52" s="315"/>
      <c r="B52" s="314" t="s">
        <v>493</v>
      </c>
      <c r="C52" s="314" t="s">
        <v>494</v>
      </c>
      <c r="D52" s="315"/>
      <c r="E52" s="315"/>
      <c r="F52" s="21"/>
      <c r="G52" s="4" t="s">
        <v>495</v>
      </c>
      <c r="H52" s="314" t="s">
        <v>496</v>
      </c>
      <c r="I52" s="314" t="s">
        <v>207</v>
      </c>
      <c r="J52" s="314" t="s">
        <v>436</v>
      </c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33.75" customHeight="1">
      <c r="A53" s="315"/>
      <c r="B53" s="315"/>
      <c r="C53" s="315"/>
      <c r="D53" s="315"/>
      <c r="E53" s="315"/>
      <c r="F53" s="349" t="s">
        <v>44</v>
      </c>
      <c r="G53" s="317"/>
      <c r="H53" s="315"/>
      <c r="I53" s="315"/>
      <c r="J53" s="315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5.75" customHeight="1">
      <c r="A54" s="315"/>
      <c r="B54" s="307"/>
      <c r="C54" s="307"/>
      <c r="D54" s="315"/>
      <c r="E54" s="315"/>
      <c r="F54" s="22"/>
      <c r="G54" s="4" t="s">
        <v>497</v>
      </c>
      <c r="H54" s="307"/>
      <c r="I54" s="307"/>
      <c r="J54" s="307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5.75" customHeight="1">
      <c r="A55" s="315"/>
      <c r="B55" s="314" t="s">
        <v>498</v>
      </c>
      <c r="C55" s="314" t="s">
        <v>499</v>
      </c>
      <c r="D55" s="315"/>
      <c r="E55" s="315"/>
      <c r="F55" s="21"/>
      <c r="G55" s="4" t="s">
        <v>500</v>
      </c>
      <c r="H55" s="314" t="s">
        <v>501</v>
      </c>
      <c r="I55" s="314" t="s">
        <v>207</v>
      </c>
      <c r="J55" s="314" t="s">
        <v>436</v>
      </c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5.75" customHeight="1">
      <c r="A56" s="315"/>
      <c r="B56" s="315"/>
      <c r="C56" s="315"/>
      <c r="D56" s="315"/>
      <c r="E56" s="315"/>
      <c r="F56" s="349" t="s">
        <v>44</v>
      </c>
      <c r="G56" s="317"/>
      <c r="H56" s="315"/>
      <c r="I56" s="315"/>
      <c r="J56" s="315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315"/>
      <c r="B57" s="307"/>
      <c r="C57" s="307"/>
      <c r="D57" s="315"/>
      <c r="E57" s="315"/>
      <c r="F57" s="22"/>
      <c r="G57" s="4" t="s">
        <v>502</v>
      </c>
      <c r="H57" s="307"/>
      <c r="I57" s="307"/>
      <c r="J57" s="307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5.75" customHeight="1">
      <c r="A58" s="315"/>
      <c r="B58" s="314" t="s">
        <v>503</v>
      </c>
      <c r="C58" s="322" t="s">
        <v>504</v>
      </c>
      <c r="D58" s="315"/>
      <c r="E58" s="315"/>
      <c r="F58" s="21"/>
      <c r="G58" s="4" t="s">
        <v>505</v>
      </c>
      <c r="H58" s="314" t="s">
        <v>506</v>
      </c>
      <c r="I58" s="314" t="s">
        <v>207</v>
      </c>
      <c r="J58" s="314" t="s">
        <v>436</v>
      </c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6.5" customHeight="1">
      <c r="A59" s="315"/>
      <c r="B59" s="315"/>
      <c r="C59" s="315"/>
      <c r="D59" s="315"/>
      <c r="E59" s="315"/>
      <c r="F59" s="349" t="s">
        <v>44</v>
      </c>
      <c r="G59" s="317"/>
      <c r="H59" s="315"/>
      <c r="I59" s="315"/>
      <c r="J59" s="315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5.75" customHeight="1">
      <c r="A60" s="337"/>
      <c r="B60" s="307"/>
      <c r="C60" s="307"/>
      <c r="D60" s="307"/>
      <c r="E60" s="337"/>
      <c r="F60" s="22"/>
      <c r="G60" s="4" t="s">
        <v>507</v>
      </c>
      <c r="H60" s="307"/>
      <c r="I60" s="307"/>
      <c r="J60" s="307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5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5.7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5.7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5.7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5.7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5.7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5.7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5.7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5.7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5.7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5.7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5.7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5.7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5.7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5.7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5.7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5.7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5.7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5.7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5.7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5.7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5.7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5.7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5.7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5.7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5.7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5.7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5.7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5.7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5.7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5.7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5.7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5.7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5.7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5.7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5.7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5.7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5.7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5.7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5.7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5.7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5.7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5.7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5.7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5.7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5.7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5.7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5.7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5.7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5.7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5.7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5.7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5.7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5.7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5.7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5.7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5.7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5.7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5.7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5.7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5.7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5.7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5.7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5.7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5.7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5.7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5.7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5.7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5.7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5.7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5.7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5.7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5.7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5.7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5.7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5.7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5.7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5.7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5.7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5.7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5.7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5.7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5.7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5.7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5.7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5.7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5.7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5.7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5.7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5.7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5.7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5.7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5.7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5.7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5.7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5.7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5.7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5.7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5.7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5.7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5.7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5.7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5.7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5.7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5.7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5.7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5.7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5.7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5.7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5.7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5.7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5.7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5.7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5.7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5.7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5.7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5.7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5.7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5.7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5.7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5.7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5.7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5.7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5.7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5.7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5.7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5.7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5.7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5.7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5.7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5.7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5.7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5.7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5.7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5.7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5.7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5.7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5.7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5.7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5.7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5.7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5.7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5.7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5.7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5.7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5.7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5.7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5.7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5.7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5.7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5.7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5.7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5.7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5.7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5.7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5.7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5.7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5.7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5.7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5.7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5.7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5.7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5.7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5.7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5.7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5.7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5.7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5.7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5.7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5.7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5.7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5.7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5.7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5.7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5.7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5.7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5.7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5.7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5.7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5.7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5.7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5.7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5.7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5.7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5.7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5.7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5.7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5.7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5.7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5.7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5.7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5.7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5.7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5.7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5.7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5.7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5.7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5.7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5.7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5.7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5.7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5.7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5.7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5.7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5.7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5.7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5.7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5.7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5.7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5.7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5.7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5.7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5.7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5.7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5.7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5.7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5.7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5.7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5.7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5.7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5.7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5.7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5.7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5.7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5.7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5.7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5.7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5.7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5.7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5.7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5.7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5.7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5.7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5.7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5.7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5.7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5.7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5.7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5.7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5.7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5.7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5.7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5.7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5.7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5.7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5.7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5.7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5.7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5.7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5.7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5.7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5.7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5.7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5.7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5.7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5.7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5.7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5.7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5.7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5.7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5.7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5.7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5.7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5.7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5.7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5.7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5.7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5.7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5.7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5.7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5.7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5.7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5.7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5.7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5.7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5.7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5.7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5.7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5.7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5.7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5.7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5.7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5.7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5.7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5.7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5.7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5.7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5.7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5.7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5.7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5.7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5.7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5.7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5.7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5.7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5.7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5.7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5.7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5.7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5.7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5.7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5.7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5.7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5.7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5.7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5.7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5.7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5.7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5.7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5.7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5.7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5.7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5.7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5.7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5.7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5.7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5.7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5.7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5.7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5.7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5.7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5.7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5.7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5.7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5.7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5.7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5.7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5.7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5.7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5.7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5.7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5.7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5.7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5.7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5.7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5.7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5.7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5.7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5.7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5.7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5.7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5.7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5.7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5.7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5.7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5.7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5.7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5.7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5.7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5.7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5.7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5.7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5.7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5.7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5.7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5.7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5.7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5.7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5.7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5.7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5.7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5.7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5.7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5.7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5.7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5.7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5.7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5.7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5.7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5.7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5.7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5.7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5.7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5.7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5.7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5.7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5.7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5.7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5.7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5.7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5.7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5.7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5.7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5.7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5.7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5.7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5.7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5.7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5.7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5.7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5.7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5.7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5.7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5.7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5.7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5.7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5.7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5.7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5.7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5.7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5.7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5.7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5.7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5.7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5.7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5.7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5.7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5.7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5.75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5.75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5.75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5.75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5.75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5.75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5.75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5.75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5.75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5.75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5.75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5.75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5.75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5.75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5.75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5.75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5.75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5.75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5.75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5.75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5.75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5.75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5.75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5.75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5.75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5.75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5.75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5.75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5.75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5.75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5.75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5.75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5.75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5.75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5.75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5.75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5.75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5.75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5.75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5.75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5.75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5.75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5.75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5.75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5.75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5.75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5.75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5.75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5.75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5.75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5.75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5.75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5.75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5.75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5.75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5.75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5.75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5.75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5.75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5.75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5.75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5.75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5.75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5.75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5.75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5.75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5.75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5.75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5.75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5.75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5.75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5.75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5.75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5.75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5.75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5.75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5.75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5.75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5.75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5.75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5.75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5.75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5.75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5.75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5.75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5.75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5.75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5.75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5.75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5.75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5.75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5.75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5.75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5.75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5.75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5.75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5.75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5.75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5.75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5.75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5.75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5.75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5.75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5.75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5.75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5.75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5.75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5.75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5.75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5.75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5.75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5.75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5.75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5.75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5.75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5.75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5.75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5.75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5.75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5.75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5.75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5.75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5.75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5.75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5.75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5.75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5.75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5.75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5.75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5.75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5.75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5.75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5.75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5.75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5.75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5.75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5.75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5.75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5.75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5.75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5.75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5.75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5.75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5.75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5.75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5.75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5.75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5.75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5.75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5.75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5.75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5.75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5.75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5.75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5.75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5.75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5.75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5.75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5.75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5.75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5.75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5.75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5.75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5.75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5.75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5.75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5.75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5.75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5.75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5.75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5.75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5.75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5.75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5.75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5.75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5.75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5.75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5.75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5.75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5.75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5.75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5.75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5.75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5.75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5.75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5.75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5.75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5.75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5.75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5.75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5.75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5.75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5.75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5.75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5.75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5.75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5.75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5.75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5.75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5.75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5.75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5.75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5.75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5.75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5.75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5.75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5.75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5.75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5.75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5.75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5.75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5.75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5.75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5.75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5.75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5.75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5.75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5.75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5.75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5.75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5.75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5.75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5.75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5.75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5.75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5.75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5.75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5.75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5.75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5.75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5.75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5.75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5.75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5.75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5.75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5.75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5.75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5.75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5.75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5.75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5.75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5.75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5.75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5.75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5.75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5.75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5.75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5.75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5.75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5.75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5.75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5.75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5.75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5.75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5.75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5.75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5.75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5.75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5.75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5.75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5.75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5.75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5.75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5.75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5.75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5.75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5.75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5.75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5.75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5.75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5.75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5.75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5.75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5.75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5.75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5.75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5.75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5.75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5.75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5.75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5.75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5.75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5.75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5.75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5.75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5.75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5.75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5.75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5.75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5.75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5.75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5.75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5.75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5.75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5.75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5.75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5.75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5.75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5.75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5.75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5.75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5.75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5.75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5.75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5.75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5.75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5.75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5.75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5.75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5.75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5.75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5.75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5.75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5.75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5.75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5.75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5.75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5.75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5.75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5.75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5.75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5.75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5.75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5.75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5.75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5.75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5.75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5.75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5.75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5.75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5.75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5.75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5.75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5.75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5.75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5.75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5.75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5.75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5.75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5.75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5.75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5.75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5.75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5.75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5.75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5.75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5.75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5.75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5.75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5.75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5.75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5.75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5.75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5.75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5.75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5.75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5.75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5.75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5.75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5.75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5.75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5.75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5.75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5.75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5.75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5.75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5.75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5.75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5.75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5.75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5.75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5.75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5.75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5.75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5.75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5.75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5.75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5.75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5.75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5.75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5.75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5.75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5.75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5.75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5.75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5.75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5.75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5.75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5.75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5.75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5.75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5.75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5.75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5.75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5.75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5.75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148">
    <mergeCell ref="C25:C27"/>
    <mergeCell ref="D25:D27"/>
    <mergeCell ref="E25:E27"/>
    <mergeCell ref="D28:D30"/>
    <mergeCell ref="E28:E30"/>
    <mergeCell ref="B37:B39"/>
    <mergeCell ref="C37:C39"/>
    <mergeCell ref="B40:B42"/>
    <mergeCell ref="C40:C42"/>
    <mergeCell ref="C28:C30"/>
    <mergeCell ref="C31:C33"/>
    <mergeCell ref="D31:D33"/>
    <mergeCell ref="E31:E33"/>
    <mergeCell ref="F38:G38"/>
    <mergeCell ref="F41:G41"/>
    <mergeCell ref="F44:G44"/>
    <mergeCell ref="F47:G47"/>
    <mergeCell ref="F50:G50"/>
    <mergeCell ref="F53:G53"/>
    <mergeCell ref="F56:G56"/>
    <mergeCell ref="F59:G59"/>
    <mergeCell ref="B34:B36"/>
    <mergeCell ref="C34:C36"/>
    <mergeCell ref="B43:B45"/>
    <mergeCell ref="C43:C45"/>
    <mergeCell ref="B46:B48"/>
    <mergeCell ref="C46:C48"/>
    <mergeCell ref="B49:B51"/>
    <mergeCell ref="C49:C51"/>
    <mergeCell ref="B52:B54"/>
    <mergeCell ref="C52:C54"/>
    <mergeCell ref="D34:D60"/>
    <mergeCell ref="E34:E60"/>
    <mergeCell ref="B55:B57"/>
    <mergeCell ref="C55:C57"/>
    <mergeCell ref="B58:B60"/>
    <mergeCell ref="C58:C60"/>
    <mergeCell ref="F26:G26"/>
    <mergeCell ref="F29:G29"/>
    <mergeCell ref="F32:G32"/>
    <mergeCell ref="F35:G35"/>
    <mergeCell ref="A16:A33"/>
    <mergeCell ref="B25:B27"/>
    <mergeCell ref="B28:B30"/>
    <mergeCell ref="B31:B33"/>
    <mergeCell ref="H13:H15"/>
    <mergeCell ref="F14:G14"/>
    <mergeCell ref="C16:C18"/>
    <mergeCell ref="D16:D18"/>
    <mergeCell ref="E16:E18"/>
    <mergeCell ref="E22:E24"/>
    <mergeCell ref="F23:G23"/>
    <mergeCell ref="H31:H33"/>
    <mergeCell ref="H25:H27"/>
    <mergeCell ref="B13:B15"/>
    <mergeCell ref="C13:C15"/>
    <mergeCell ref="D13:D15"/>
    <mergeCell ref="E13:E15"/>
    <mergeCell ref="A34:A60"/>
    <mergeCell ref="C22:C24"/>
    <mergeCell ref="D22:D24"/>
    <mergeCell ref="I55:I57"/>
    <mergeCell ref="J55:J57"/>
    <mergeCell ref="H58:H60"/>
    <mergeCell ref="I58:I60"/>
    <mergeCell ref="J58:J60"/>
    <mergeCell ref="H49:H51"/>
    <mergeCell ref="I49:I51"/>
    <mergeCell ref="J49:J51"/>
    <mergeCell ref="H52:H54"/>
    <mergeCell ref="I52:I54"/>
    <mergeCell ref="J52:J54"/>
    <mergeCell ref="H55:H57"/>
    <mergeCell ref="I46:I48"/>
    <mergeCell ref="J46:J48"/>
    <mergeCell ref="H40:H42"/>
    <mergeCell ref="I40:I42"/>
    <mergeCell ref="J40:J42"/>
    <mergeCell ref="H43:H45"/>
    <mergeCell ref="I43:I45"/>
    <mergeCell ref="J43:J45"/>
    <mergeCell ref="H46:H48"/>
    <mergeCell ref="I25:I27"/>
    <mergeCell ref="J25:J27"/>
    <mergeCell ref="I37:I39"/>
    <mergeCell ref="J37:J39"/>
    <mergeCell ref="H28:H30"/>
    <mergeCell ref="I28:I30"/>
    <mergeCell ref="J28:J30"/>
    <mergeCell ref="H34:H36"/>
    <mergeCell ref="I34:I36"/>
    <mergeCell ref="J34:J36"/>
    <mergeCell ref="H37:H39"/>
    <mergeCell ref="I31:I33"/>
    <mergeCell ref="J31:J33"/>
    <mergeCell ref="I13:I15"/>
    <mergeCell ref="J13:J15"/>
    <mergeCell ref="H19:H21"/>
    <mergeCell ref="H22:H24"/>
    <mergeCell ref="I22:I24"/>
    <mergeCell ref="J22:J24"/>
    <mergeCell ref="H16:H18"/>
    <mergeCell ref="F17:G17"/>
    <mergeCell ref="B19:B21"/>
    <mergeCell ref="C19:C21"/>
    <mergeCell ref="D19:D21"/>
    <mergeCell ref="E19:E21"/>
    <mergeCell ref="I19:I21"/>
    <mergeCell ref="J19:J21"/>
    <mergeCell ref="F20:G20"/>
    <mergeCell ref="B16:B18"/>
    <mergeCell ref="B22:B24"/>
    <mergeCell ref="F6:G6"/>
    <mergeCell ref="A7:B7"/>
    <mergeCell ref="I7:J7"/>
    <mergeCell ref="I8:I9"/>
    <mergeCell ref="J8:J9"/>
    <mergeCell ref="I16:I18"/>
    <mergeCell ref="J16:J18"/>
    <mergeCell ref="C7:E7"/>
    <mergeCell ref="F7:H7"/>
    <mergeCell ref="A8:A9"/>
    <mergeCell ref="B8:B9"/>
    <mergeCell ref="C8:E8"/>
    <mergeCell ref="F8:G9"/>
    <mergeCell ref="H8:H9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A13:A15"/>
    <mergeCell ref="A1:B2"/>
    <mergeCell ref="C1:G2"/>
    <mergeCell ref="I1:J1"/>
    <mergeCell ref="I2:J2"/>
    <mergeCell ref="A3:F3"/>
    <mergeCell ref="H3:J3"/>
    <mergeCell ref="F4:G4"/>
    <mergeCell ref="B4:C4"/>
    <mergeCell ref="A5:B5"/>
    <mergeCell ref="C5:E5"/>
    <mergeCell ref="F5:G5"/>
    <mergeCell ref="H5:J5"/>
  </mergeCells>
  <conditionalFormatting sqref="F12">
    <cfRule type="cellIs" dxfId="171" priority="1" operator="lessThan">
      <formula>$F$16</formula>
    </cfRule>
    <cfRule type="cellIs" dxfId="170" priority="2" operator="greaterThanOrEqual">
      <formula>$F$16</formula>
    </cfRule>
  </conditionalFormatting>
  <conditionalFormatting sqref="F15">
    <cfRule type="cellIs" dxfId="169" priority="3" operator="lessThan">
      <formula>$F$16</formula>
    </cfRule>
    <cfRule type="cellIs" dxfId="168" priority="4" operator="greaterThanOrEqual">
      <formula>$F$16</formula>
    </cfRule>
  </conditionalFormatting>
  <conditionalFormatting sqref="F18">
    <cfRule type="cellIs" dxfId="167" priority="5" operator="lessThan">
      <formula>$F$16</formula>
    </cfRule>
    <cfRule type="cellIs" dxfId="166" priority="6" operator="greaterThanOrEqual">
      <formula>$F$16</formula>
    </cfRule>
  </conditionalFormatting>
  <conditionalFormatting sqref="F21">
    <cfRule type="cellIs" dxfId="165" priority="7" operator="lessThan">
      <formula>$F$16</formula>
    </cfRule>
    <cfRule type="cellIs" dxfId="164" priority="8" operator="greaterThanOrEqual">
      <formula>$F$16</formula>
    </cfRule>
  </conditionalFormatting>
  <conditionalFormatting sqref="F24">
    <cfRule type="cellIs" dxfId="163" priority="9" operator="lessThan">
      <formula>$F$16</formula>
    </cfRule>
    <cfRule type="cellIs" dxfId="162" priority="10" operator="greaterThanOrEqual">
      <formula>$F$16</formula>
    </cfRule>
  </conditionalFormatting>
  <conditionalFormatting sqref="F27">
    <cfRule type="cellIs" dxfId="161" priority="11" operator="lessThan">
      <formula>$F$16</formula>
    </cfRule>
    <cfRule type="cellIs" dxfId="160" priority="12" operator="greaterThanOrEqual">
      <formula>$F$16</formula>
    </cfRule>
  </conditionalFormatting>
  <conditionalFormatting sqref="F30">
    <cfRule type="cellIs" dxfId="159" priority="13" operator="lessThan">
      <formula>$F$16</formula>
    </cfRule>
    <cfRule type="cellIs" dxfId="158" priority="14" operator="greaterThanOrEqual">
      <formula>$F$16</formula>
    </cfRule>
  </conditionalFormatting>
  <conditionalFormatting sqref="F33">
    <cfRule type="cellIs" dxfId="157" priority="15" operator="lessThan">
      <formula>$F$16</formula>
    </cfRule>
    <cfRule type="cellIs" dxfId="156" priority="16" operator="greaterThanOrEqual">
      <formula>$F$16</formula>
    </cfRule>
  </conditionalFormatting>
  <conditionalFormatting sqref="F39">
    <cfRule type="cellIs" dxfId="155" priority="18" operator="greaterThanOrEqual">
      <formula>$F$16</formula>
    </cfRule>
    <cfRule type="cellIs" dxfId="154" priority="17" operator="lessThan">
      <formula>$F$16</formula>
    </cfRule>
  </conditionalFormatting>
  <conditionalFormatting sqref="F42">
    <cfRule type="cellIs" dxfId="153" priority="19" operator="lessThan">
      <formula>$F$16</formula>
    </cfRule>
    <cfRule type="cellIs" dxfId="152" priority="20" operator="greaterThanOrEqual">
      <formula>$F$16</formula>
    </cfRule>
  </conditionalFormatting>
  <conditionalFormatting sqref="F45">
    <cfRule type="cellIs" dxfId="151" priority="21" operator="lessThan">
      <formula>$F$16</formula>
    </cfRule>
    <cfRule type="cellIs" dxfId="150" priority="22" operator="greaterThanOrEqual">
      <formula>$F$16</formula>
    </cfRule>
  </conditionalFormatting>
  <conditionalFormatting sqref="F48">
    <cfRule type="cellIs" dxfId="149" priority="23" operator="lessThan">
      <formula>$F$16</formula>
    </cfRule>
    <cfRule type="cellIs" dxfId="148" priority="24" operator="greaterThanOrEqual">
      <formula>$F$16</formula>
    </cfRule>
  </conditionalFormatting>
  <conditionalFormatting sqref="F51">
    <cfRule type="cellIs" dxfId="147" priority="25" operator="lessThan">
      <formula>$F$16</formula>
    </cfRule>
    <cfRule type="cellIs" dxfId="146" priority="26" operator="greaterThanOrEqual">
      <formula>$F$16</formula>
    </cfRule>
  </conditionalFormatting>
  <conditionalFormatting sqref="F54">
    <cfRule type="cellIs" dxfId="145" priority="27" operator="lessThan">
      <formula>$F$16</formula>
    </cfRule>
    <cfRule type="cellIs" dxfId="144" priority="28" operator="greaterThanOrEqual">
      <formula>$F$16</formula>
    </cfRule>
  </conditionalFormatting>
  <conditionalFormatting sqref="F57">
    <cfRule type="cellIs" dxfId="143" priority="29" operator="lessThan">
      <formula>$F$16</formula>
    </cfRule>
    <cfRule type="cellIs" dxfId="142" priority="30" operator="greaterThanOrEqual">
      <formula>$F$16</formula>
    </cfRule>
  </conditionalFormatting>
  <conditionalFormatting sqref="F60">
    <cfRule type="cellIs" dxfId="141" priority="31" operator="lessThan">
      <formula>$F$16</formula>
    </cfRule>
    <cfRule type="cellIs" dxfId="140" priority="32" operator="greaterThanOrEqual">
      <formula>$F$16</formula>
    </cfRule>
  </conditionalFormatting>
  <conditionalFormatting sqref="J4">
    <cfRule type="cellIs" dxfId="139" priority="33" operator="lessThan">
      <formula>$H$4</formula>
    </cfRule>
    <cfRule type="cellIs" dxfId="138" priority="34" operator="greaterThan">
      <formula>$H$4</formula>
    </cfRule>
  </conditionalFormatting>
  <pageMargins left="0.25" right="0.25" top="0.75" bottom="0.75" header="0" footer="0"/>
  <pageSetup orientation="portrait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4F8A8-60EF-9F4F-8649-DA76DA697682}">
  <sheetPr codeName="Hoja15">
    <tabColor rgb="FF385623"/>
  </sheetPr>
  <dimension ref="A1:J33"/>
  <sheetViews>
    <sheetView showGridLines="0" topLeftCell="B1" workbookViewId="0">
      <selection activeCell="F5" sqref="F5:J6"/>
    </sheetView>
  </sheetViews>
  <sheetFormatPr baseColWidth="10" defaultColWidth="11.1640625" defaultRowHeight="15" customHeight="1"/>
  <cols>
    <col min="1" max="1" width="21.6640625" style="99" customWidth="1"/>
    <col min="2" max="2" width="37.33203125" style="99" customWidth="1"/>
    <col min="3" max="3" width="33.1640625" style="99" customWidth="1"/>
    <col min="4" max="4" width="28.5" style="99" customWidth="1"/>
    <col min="5" max="5" width="36.5" style="99" customWidth="1"/>
    <col min="6" max="6" width="19" style="99" customWidth="1"/>
    <col min="7" max="7" width="26.5" style="99" customWidth="1"/>
    <col min="8" max="8" width="25.1640625" style="99" customWidth="1"/>
    <col min="9" max="9" width="22.83203125" style="99" customWidth="1"/>
    <col min="10" max="10" width="21.83203125" style="99" customWidth="1"/>
    <col min="11" max="16384" width="11.1640625" style="99"/>
  </cols>
  <sheetData>
    <row r="1" spans="1:10" ht="124" customHeight="1" thickBot="1">
      <c r="A1" s="226" t="e" vm="1">
        <v>#VALUE!</v>
      </c>
      <c r="B1" s="227"/>
      <c r="C1" s="207" t="s">
        <v>0</v>
      </c>
      <c r="D1" s="207"/>
      <c r="E1" s="207"/>
      <c r="F1" s="207"/>
      <c r="G1" s="208"/>
      <c r="H1" s="98" t="s">
        <v>1</v>
      </c>
      <c r="I1" s="183" t="s">
        <v>2</v>
      </c>
      <c r="J1" s="172"/>
    </row>
    <row r="2" spans="1:10" ht="60.75" customHeight="1" thickBot="1">
      <c r="A2" s="228"/>
      <c r="B2" s="229"/>
      <c r="C2" s="209"/>
      <c r="D2" s="209"/>
      <c r="E2" s="209"/>
      <c r="F2" s="209"/>
      <c r="G2" s="210"/>
      <c r="H2" s="98" t="s">
        <v>3</v>
      </c>
      <c r="I2" s="184">
        <v>45889</v>
      </c>
      <c r="J2" s="172"/>
    </row>
    <row r="3" spans="1:10" ht="34.5" customHeight="1" thickBot="1">
      <c r="A3" s="201" t="s">
        <v>856</v>
      </c>
      <c r="B3" s="202"/>
      <c r="C3" s="202"/>
      <c r="D3" s="202"/>
      <c r="E3" s="199" t="s">
        <v>855</v>
      </c>
      <c r="F3" s="199"/>
      <c r="G3" s="200"/>
      <c r="H3" s="185" t="s">
        <v>843</v>
      </c>
      <c r="I3" s="186"/>
      <c r="J3" s="187"/>
    </row>
    <row r="4" spans="1:10" ht="48" customHeight="1" thickBot="1">
      <c r="A4" s="119" t="s">
        <v>6</v>
      </c>
      <c r="B4" s="231" t="s">
        <v>136</v>
      </c>
      <c r="C4" s="172"/>
      <c r="D4" s="120" t="s">
        <v>8</v>
      </c>
      <c r="E4" s="121" t="s">
        <v>790</v>
      </c>
      <c r="F4" s="230" t="s">
        <v>9</v>
      </c>
      <c r="G4" s="189"/>
      <c r="H4" s="135">
        <v>15200000</v>
      </c>
      <c r="I4" s="123" t="s">
        <v>10</v>
      </c>
      <c r="J4" s="124"/>
    </row>
    <row r="5" spans="1:10" ht="39.75" customHeight="1" thickBot="1">
      <c r="A5" s="232" t="s">
        <v>11</v>
      </c>
      <c r="B5" s="172"/>
      <c r="C5" s="233" t="s">
        <v>137</v>
      </c>
      <c r="D5" s="174"/>
      <c r="E5" s="172"/>
      <c r="F5" s="234" t="s">
        <v>13</v>
      </c>
      <c r="G5" s="194"/>
      <c r="H5" s="237" t="s">
        <v>138</v>
      </c>
      <c r="I5" s="239" t="s">
        <v>15</v>
      </c>
      <c r="J5" s="237" t="s">
        <v>16</v>
      </c>
    </row>
    <row r="6" spans="1:10" ht="60" customHeight="1" thickBot="1">
      <c r="A6" s="121" t="s">
        <v>17</v>
      </c>
      <c r="B6" s="125" t="s">
        <v>18</v>
      </c>
      <c r="C6" s="126" t="s">
        <v>19</v>
      </c>
      <c r="D6" s="127" t="s">
        <v>20</v>
      </c>
      <c r="E6" s="126" t="s">
        <v>21</v>
      </c>
      <c r="F6" s="195"/>
      <c r="G6" s="196"/>
      <c r="H6" s="179"/>
      <c r="I6" s="179"/>
      <c r="J6" s="179"/>
    </row>
    <row r="7" spans="1:10" ht="110" customHeight="1" thickBot="1">
      <c r="A7" s="244" t="s">
        <v>22</v>
      </c>
      <c r="B7" s="172"/>
      <c r="C7" s="245" t="s">
        <v>865</v>
      </c>
      <c r="D7" s="174"/>
      <c r="E7" s="172"/>
      <c r="F7" s="276" t="s">
        <v>23</v>
      </c>
      <c r="G7" s="176"/>
      <c r="H7" s="177"/>
      <c r="I7" s="245" t="s">
        <v>24</v>
      </c>
      <c r="J7" s="172"/>
    </row>
    <row r="8" spans="1:10" ht="15.75" customHeight="1" thickBot="1">
      <c r="A8" s="263" t="s">
        <v>25</v>
      </c>
      <c r="B8" s="275" t="s">
        <v>26</v>
      </c>
      <c r="C8" s="250" t="s">
        <v>27</v>
      </c>
      <c r="D8" s="174"/>
      <c r="E8" s="172"/>
      <c r="F8" s="271" t="s">
        <v>28</v>
      </c>
      <c r="G8" s="194"/>
      <c r="H8" s="243" t="s">
        <v>29</v>
      </c>
      <c r="I8" s="242" t="s">
        <v>30</v>
      </c>
      <c r="J8" s="243" t="s">
        <v>31</v>
      </c>
    </row>
    <row r="9" spans="1:10" ht="15.75" customHeight="1" thickBot="1">
      <c r="A9" s="179"/>
      <c r="B9" s="181"/>
      <c r="C9" s="128" t="s">
        <v>32</v>
      </c>
      <c r="D9" s="129" t="s">
        <v>33</v>
      </c>
      <c r="E9" s="130" t="s">
        <v>34</v>
      </c>
      <c r="F9" s="195"/>
      <c r="G9" s="196"/>
      <c r="H9" s="179"/>
      <c r="I9" s="220"/>
      <c r="J9" s="179"/>
    </row>
    <row r="10" spans="1:10" ht="42" customHeight="1" thickBot="1">
      <c r="A10" s="254" t="s">
        <v>35</v>
      </c>
      <c r="B10" s="256" t="s">
        <v>513</v>
      </c>
      <c r="C10" s="272" t="s">
        <v>514</v>
      </c>
      <c r="D10" s="256" t="s">
        <v>836</v>
      </c>
      <c r="E10" s="256" t="s">
        <v>39</v>
      </c>
      <c r="F10" s="83" t="s">
        <v>839</v>
      </c>
      <c r="G10" s="83" t="s">
        <v>837</v>
      </c>
      <c r="H10" s="256" t="s">
        <v>515</v>
      </c>
      <c r="I10" s="256" t="s">
        <v>836</v>
      </c>
      <c r="J10" s="256" t="s">
        <v>516</v>
      </c>
    </row>
    <row r="11" spans="1:10" ht="28.5" customHeight="1" thickBot="1">
      <c r="A11" s="212"/>
      <c r="B11" s="257"/>
      <c r="C11" s="273"/>
      <c r="D11" s="257"/>
      <c r="E11" s="257"/>
      <c r="F11" s="261" t="s">
        <v>44</v>
      </c>
      <c r="G11" s="262"/>
      <c r="H11" s="257"/>
      <c r="I11" s="257"/>
      <c r="J11" s="257"/>
    </row>
    <row r="12" spans="1:10" ht="51" customHeight="1" thickBot="1">
      <c r="A12" s="179"/>
      <c r="B12" s="258"/>
      <c r="C12" s="274"/>
      <c r="D12" s="258"/>
      <c r="E12" s="258"/>
      <c r="F12" s="141"/>
      <c r="G12" s="84" t="s">
        <v>838</v>
      </c>
      <c r="H12" s="258"/>
      <c r="I12" s="258"/>
      <c r="J12" s="258"/>
    </row>
    <row r="13" spans="1:10" ht="54" customHeight="1" thickBot="1">
      <c r="A13" s="263" t="s">
        <v>46</v>
      </c>
      <c r="B13" s="197" t="s">
        <v>47</v>
      </c>
      <c r="C13" s="267" t="s">
        <v>48</v>
      </c>
      <c r="D13" s="197" t="s">
        <v>49</v>
      </c>
      <c r="E13" s="197" t="s">
        <v>39</v>
      </c>
      <c r="F13" s="86">
        <v>75</v>
      </c>
      <c r="G13" s="113" t="s">
        <v>50</v>
      </c>
      <c r="H13" s="197" t="s">
        <v>51</v>
      </c>
      <c r="I13" s="197" t="s">
        <v>52</v>
      </c>
      <c r="J13" s="197" t="s">
        <v>53</v>
      </c>
    </row>
    <row r="14" spans="1:10" ht="19.5" customHeight="1" thickBot="1">
      <c r="A14" s="212"/>
      <c r="B14" s="212"/>
      <c r="C14" s="215"/>
      <c r="D14" s="212"/>
      <c r="E14" s="212"/>
      <c r="F14" s="221" t="s">
        <v>44</v>
      </c>
      <c r="G14" s="222"/>
      <c r="H14" s="212"/>
      <c r="I14" s="212"/>
      <c r="J14" s="212"/>
    </row>
    <row r="15" spans="1:10" ht="54.75" customHeight="1" thickBot="1">
      <c r="A15" s="179"/>
      <c r="B15" s="179"/>
      <c r="C15" s="216"/>
      <c r="D15" s="179"/>
      <c r="E15" s="179"/>
      <c r="F15" s="116"/>
      <c r="G15" s="114" t="s">
        <v>54</v>
      </c>
      <c r="H15" s="179"/>
      <c r="I15" s="179"/>
      <c r="J15" s="179"/>
    </row>
    <row r="16" spans="1:10" ht="42" customHeight="1" thickBot="1">
      <c r="A16" s="264" t="s">
        <v>55</v>
      </c>
      <c r="B16" s="237" t="s">
        <v>139</v>
      </c>
      <c r="C16" s="237" t="s">
        <v>140</v>
      </c>
      <c r="D16" s="197" t="s">
        <v>58</v>
      </c>
      <c r="E16" s="237" t="s">
        <v>116</v>
      </c>
      <c r="F16" s="86">
        <v>100</v>
      </c>
      <c r="G16" s="115" t="s">
        <v>59</v>
      </c>
      <c r="H16" s="197" t="s">
        <v>141</v>
      </c>
      <c r="I16" s="197" t="s">
        <v>123</v>
      </c>
      <c r="J16" s="197" t="s">
        <v>142</v>
      </c>
    </row>
    <row r="17" spans="1:10" ht="21" customHeight="1" thickBot="1">
      <c r="A17" s="265"/>
      <c r="B17" s="212"/>
      <c r="C17" s="212"/>
      <c r="D17" s="212"/>
      <c r="E17" s="212"/>
      <c r="F17" s="221" t="s">
        <v>44</v>
      </c>
      <c r="G17" s="222"/>
      <c r="H17" s="212"/>
      <c r="I17" s="212"/>
      <c r="J17" s="212"/>
    </row>
    <row r="18" spans="1:10" ht="47.25" customHeight="1" thickBot="1">
      <c r="A18" s="265"/>
      <c r="B18" s="179"/>
      <c r="C18" s="179"/>
      <c r="D18" s="179"/>
      <c r="E18" s="179"/>
      <c r="F18" s="140">
        <v>7</v>
      </c>
      <c r="G18" s="117" t="s">
        <v>63</v>
      </c>
      <c r="H18" s="179"/>
      <c r="I18" s="179"/>
      <c r="J18" s="179"/>
    </row>
    <row r="19" spans="1:10" ht="45" customHeight="1" thickBot="1">
      <c r="A19" s="265"/>
      <c r="B19" s="237" t="s">
        <v>143</v>
      </c>
      <c r="C19" s="237" t="s">
        <v>144</v>
      </c>
      <c r="D19" s="197" t="s">
        <v>58</v>
      </c>
      <c r="E19" s="237" t="s">
        <v>39</v>
      </c>
      <c r="F19" s="86">
        <v>100</v>
      </c>
      <c r="G19" s="115" t="s">
        <v>59</v>
      </c>
      <c r="H19" s="197" t="s">
        <v>145</v>
      </c>
      <c r="I19" s="197" t="s">
        <v>123</v>
      </c>
      <c r="J19" s="197" t="s">
        <v>146</v>
      </c>
    </row>
    <row r="20" spans="1:10" ht="22.5" customHeight="1" thickBot="1">
      <c r="A20" s="265"/>
      <c r="B20" s="212"/>
      <c r="C20" s="212"/>
      <c r="D20" s="212"/>
      <c r="E20" s="212"/>
      <c r="F20" s="221" t="s">
        <v>44</v>
      </c>
      <c r="G20" s="222"/>
      <c r="H20" s="212"/>
      <c r="I20" s="212"/>
      <c r="J20" s="212"/>
    </row>
    <row r="21" spans="1:10" ht="49.5" customHeight="1" thickBot="1">
      <c r="A21" s="265"/>
      <c r="B21" s="179"/>
      <c r="C21" s="179"/>
      <c r="D21" s="179"/>
      <c r="E21" s="179"/>
      <c r="F21" s="140">
        <v>10</v>
      </c>
      <c r="G21" s="117" t="s">
        <v>63</v>
      </c>
      <c r="H21" s="179"/>
      <c r="I21" s="179"/>
      <c r="J21" s="179"/>
    </row>
    <row r="22" spans="1:10" ht="39.75" customHeight="1" thickBot="1">
      <c r="A22" s="265"/>
      <c r="B22" s="237" t="s">
        <v>147</v>
      </c>
      <c r="C22" s="237" t="s">
        <v>148</v>
      </c>
      <c r="D22" s="197" t="s">
        <v>58</v>
      </c>
      <c r="E22" s="237" t="s">
        <v>39</v>
      </c>
      <c r="F22" s="86">
        <v>100</v>
      </c>
      <c r="G22" s="115" t="s">
        <v>59</v>
      </c>
      <c r="H22" s="197" t="s">
        <v>149</v>
      </c>
      <c r="I22" s="197" t="s">
        <v>123</v>
      </c>
      <c r="J22" s="197" t="s">
        <v>150</v>
      </c>
    </row>
    <row r="23" spans="1:10" ht="30" customHeight="1" thickBot="1">
      <c r="A23" s="265"/>
      <c r="B23" s="212"/>
      <c r="C23" s="212"/>
      <c r="D23" s="212"/>
      <c r="E23" s="212"/>
      <c r="F23" s="221" t="s">
        <v>44</v>
      </c>
      <c r="G23" s="222"/>
      <c r="H23" s="212"/>
      <c r="I23" s="212"/>
      <c r="J23" s="212"/>
    </row>
    <row r="24" spans="1:10" ht="39.75" customHeight="1" thickBot="1">
      <c r="A24" s="266"/>
      <c r="B24" s="179"/>
      <c r="C24" s="179"/>
      <c r="D24" s="179"/>
      <c r="E24" s="179"/>
      <c r="F24" s="116">
        <v>7</v>
      </c>
      <c r="G24" s="117" t="s">
        <v>63</v>
      </c>
      <c r="H24" s="179"/>
      <c r="I24" s="179"/>
      <c r="J24" s="179"/>
    </row>
    <row r="25" spans="1:10" ht="15.75" customHeight="1" thickBot="1">
      <c r="A25" s="254" t="s">
        <v>79</v>
      </c>
      <c r="B25" s="237" t="s">
        <v>151</v>
      </c>
      <c r="C25" s="237" t="s">
        <v>152</v>
      </c>
      <c r="D25" s="197" t="s">
        <v>58</v>
      </c>
      <c r="E25" s="237" t="s">
        <v>39</v>
      </c>
      <c r="F25" s="136">
        <v>1200</v>
      </c>
      <c r="G25" s="132" t="s">
        <v>153</v>
      </c>
      <c r="H25" s="237" t="s">
        <v>154</v>
      </c>
      <c r="I25" s="197" t="s">
        <v>58</v>
      </c>
      <c r="J25" s="197" t="s">
        <v>146</v>
      </c>
    </row>
    <row r="26" spans="1:10" ht="15.75" customHeight="1" thickBot="1">
      <c r="A26" s="212"/>
      <c r="B26" s="212"/>
      <c r="C26" s="212"/>
      <c r="D26" s="212"/>
      <c r="E26" s="212"/>
      <c r="F26" s="270" t="s">
        <v>44</v>
      </c>
      <c r="G26" s="222"/>
      <c r="H26" s="212"/>
      <c r="I26" s="212"/>
      <c r="J26" s="212"/>
    </row>
    <row r="27" spans="1:10" ht="49.5" customHeight="1" thickBot="1">
      <c r="A27" s="212"/>
      <c r="B27" s="179"/>
      <c r="C27" s="179"/>
      <c r="D27" s="179"/>
      <c r="E27" s="179"/>
      <c r="F27" s="139">
        <v>216</v>
      </c>
      <c r="G27" s="132" t="s">
        <v>44</v>
      </c>
      <c r="H27" s="179"/>
      <c r="I27" s="179"/>
      <c r="J27" s="179"/>
    </row>
    <row r="28" spans="1:10" ht="36" customHeight="1" thickBot="1">
      <c r="A28" s="212"/>
      <c r="B28" s="237" t="s">
        <v>155</v>
      </c>
      <c r="C28" s="237" t="s">
        <v>156</v>
      </c>
      <c r="D28" s="197" t="s">
        <v>58</v>
      </c>
      <c r="E28" s="237" t="s">
        <v>39</v>
      </c>
      <c r="F28" s="136">
        <v>13400</v>
      </c>
      <c r="G28" s="132" t="s">
        <v>157</v>
      </c>
      <c r="H28" s="237" t="s">
        <v>158</v>
      </c>
      <c r="I28" s="197" t="s">
        <v>58</v>
      </c>
      <c r="J28" s="197" t="s">
        <v>146</v>
      </c>
    </row>
    <row r="29" spans="1:10" ht="30" customHeight="1" thickBot="1">
      <c r="A29" s="212"/>
      <c r="B29" s="212"/>
      <c r="C29" s="212"/>
      <c r="D29" s="212"/>
      <c r="E29" s="212"/>
      <c r="F29" s="270" t="s">
        <v>44</v>
      </c>
      <c r="G29" s="222"/>
      <c r="H29" s="212"/>
      <c r="I29" s="212"/>
      <c r="J29" s="212"/>
    </row>
    <row r="30" spans="1:10" ht="55.5" customHeight="1" thickBot="1">
      <c r="A30" s="212"/>
      <c r="B30" s="179"/>
      <c r="C30" s="179"/>
      <c r="D30" s="179"/>
      <c r="E30" s="179"/>
      <c r="F30" s="139">
        <v>4363</v>
      </c>
      <c r="G30" s="132" t="s">
        <v>44</v>
      </c>
      <c r="H30" s="179"/>
      <c r="I30" s="179"/>
      <c r="J30" s="179"/>
    </row>
    <row r="31" spans="1:10" ht="39.75" customHeight="1" thickBot="1">
      <c r="A31" s="212"/>
      <c r="B31" s="237" t="s">
        <v>159</v>
      </c>
      <c r="C31" s="237" t="s">
        <v>160</v>
      </c>
      <c r="D31" s="197" t="s">
        <v>58</v>
      </c>
      <c r="E31" s="237" t="s">
        <v>39</v>
      </c>
      <c r="F31" s="136">
        <v>1200</v>
      </c>
      <c r="G31" s="137" t="s">
        <v>161</v>
      </c>
      <c r="H31" s="237" t="s">
        <v>162</v>
      </c>
      <c r="I31" s="197" t="s">
        <v>58</v>
      </c>
      <c r="J31" s="237" t="s">
        <v>163</v>
      </c>
    </row>
    <row r="32" spans="1:10" ht="40.5" customHeight="1" thickBot="1">
      <c r="A32" s="212"/>
      <c r="B32" s="212"/>
      <c r="C32" s="212"/>
      <c r="D32" s="212"/>
      <c r="E32" s="212"/>
      <c r="F32" s="270" t="s">
        <v>44</v>
      </c>
      <c r="G32" s="222"/>
      <c r="H32" s="212"/>
      <c r="I32" s="212"/>
      <c r="J32" s="212"/>
    </row>
    <row r="33" spans="1:10" ht="42" customHeight="1" thickBot="1">
      <c r="A33" s="179"/>
      <c r="B33" s="179"/>
      <c r="C33" s="179"/>
      <c r="D33" s="179"/>
      <c r="E33" s="179"/>
      <c r="F33" s="133">
        <v>48</v>
      </c>
      <c r="G33" s="137" t="s">
        <v>44</v>
      </c>
      <c r="H33" s="179"/>
      <c r="I33" s="179"/>
      <c r="J33" s="179"/>
    </row>
  </sheetData>
  <mergeCells count="94">
    <mergeCell ref="A1:B2"/>
    <mergeCell ref="C1:G2"/>
    <mergeCell ref="I1:J1"/>
    <mergeCell ref="I2:J2"/>
    <mergeCell ref="A3:D3"/>
    <mergeCell ref="E3:G3"/>
    <mergeCell ref="H3:J3"/>
    <mergeCell ref="B4:C4"/>
    <mergeCell ref="F4:G4"/>
    <mergeCell ref="A5:B5"/>
    <mergeCell ref="C5:E5"/>
    <mergeCell ref="F5:G6"/>
    <mergeCell ref="I5:I6"/>
    <mergeCell ref="J5:J6"/>
    <mergeCell ref="A7:B7"/>
    <mergeCell ref="C7:E7"/>
    <mergeCell ref="F7:H7"/>
    <mergeCell ref="I7:J7"/>
    <mergeCell ref="H5:H6"/>
    <mergeCell ref="J8:J9"/>
    <mergeCell ref="A10:A12"/>
    <mergeCell ref="B10:B12"/>
    <mergeCell ref="C10:C12"/>
    <mergeCell ref="D10:D12"/>
    <mergeCell ref="E10:E12"/>
    <mergeCell ref="H10:H12"/>
    <mergeCell ref="I10:I12"/>
    <mergeCell ref="J10:J12"/>
    <mergeCell ref="F11:G11"/>
    <mergeCell ref="A8:A9"/>
    <mergeCell ref="B8:B9"/>
    <mergeCell ref="C8:E8"/>
    <mergeCell ref="F8:G9"/>
    <mergeCell ref="H8:H9"/>
    <mergeCell ref="I8:I9"/>
    <mergeCell ref="I13:I15"/>
    <mergeCell ref="J13:J15"/>
    <mergeCell ref="F14:G14"/>
    <mergeCell ref="A16:A24"/>
    <mergeCell ref="B16:B18"/>
    <mergeCell ref="C16:C18"/>
    <mergeCell ref="D16:D18"/>
    <mergeCell ref="E16:E18"/>
    <mergeCell ref="H16:H18"/>
    <mergeCell ref="I16:I18"/>
    <mergeCell ref="A13:A15"/>
    <mergeCell ref="B13:B15"/>
    <mergeCell ref="C13:C15"/>
    <mergeCell ref="D13:D15"/>
    <mergeCell ref="E13:E15"/>
    <mergeCell ref="H13:H15"/>
    <mergeCell ref="J16:J18"/>
    <mergeCell ref="F17:G17"/>
    <mergeCell ref="B19:B21"/>
    <mergeCell ref="C19:C21"/>
    <mergeCell ref="D19:D21"/>
    <mergeCell ref="E19:E21"/>
    <mergeCell ref="H19:H21"/>
    <mergeCell ref="I19:I21"/>
    <mergeCell ref="J19:J21"/>
    <mergeCell ref="F20:G20"/>
    <mergeCell ref="J22:J24"/>
    <mergeCell ref="F23:G23"/>
    <mergeCell ref="A25:A33"/>
    <mergeCell ref="B25:B27"/>
    <mergeCell ref="C25:C27"/>
    <mergeCell ref="D25:D27"/>
    <mergeCell ref="E25:E27"/>
    <mergeCell ref="H25:H27"/>
    <mergeCell ref="I25:I27"/>
    <mergeCell ref="J25:J27"/>
    <mergeCell ref="B22:B24"/>
    <mergeCell ref="C22:C24"/>
    <mergeCell ref="D22:D24"/>
    <mergeCell ref="E22:E24"/>
    <mergeCell ref="H22:H24"/>
    <mergeCell ref="I22:I24"/>
    <mergeCell ref="F26:G26"/>
    <mergeCell ref="B28:B30"/>
    <mergeCell ref="C28:C30"/>
    <mergeCell ref="D28:D30"/>
    <mergeCell ref="E28:E30"/>
    <mergeCell ref="F32:G32"/>
    <mergeCell ref="I28:I30"/>
    <mergeCell ref="J28:J30"/>
    <mergeCell ref="F29:G29"/>
    <mergeCell ref="B31:B33"/>
    <mergeCell ref="C31:C33"/>
    <mergeCell ref="D31:D33"/>
    <mergeCell ref="E31:E33"/>
    <mergeCell ref="H31:H33"/>
    <mergeCell ref="I31:I33"/>
    <mergeCell ref="J31:J33"/>
    <mergeCell ref="H28:H30"/>
  </mergeCells>
  <conditionalFormatting sqref="F15">
    <cfRule type="cellIs" dxfId="137" priority="1" stopIfTrue="1" operator="lessThan">
      <formula>$F$16</formula>
    </cfRule>
    <cfRule type="cellIs" dxfId="136" priority="2" stopIfTrue="1" operator="greaterThanOrEqual">
      <formula>$F$16</formula>
    </cfRule>
    <cfRule type="cellIs" dxfId="135" priority="3" operator="lessThan">
      <formula>$F$16</formula>
    </cfRule>
    <cfRule type="cellIs" dxfId="134" priority="4" operator="greaterThanOrEqual">
      <formula>$F$16</formula>
    </cfRule>
  </conditionalFormatting>
  <conditionalFormatting sqref="F24">
    <cfRule type="cellIs" dxfId="133" priority="15" operator="lessThan">
      <formula>$F$16</formula>
    </cfRule>
    <cfRule type="cellIs" dxfId="132" priority="16" operator="greaterThanOrEqual">
      <formula>$F$16</formula>
    </cfRule>
  </conditionalFormatting>
  <conditionalFormatting sqref="F33">
    <cfRule type="cellIs" dxfId="131" priority="21" operator="lessThan">
      <formula>$F$16</formula>
    </cfRule>
    <cfRule type="cellIs" dxfId="130" priority="22" operator="greaterThanOrEqual">
      <formula>$F$16</formula>
    </cfRule>
  </conditionalFormatting>
  <conditionalFormatting sqref="J4">
    <cfRule type="cellIs" dxfId="129" priority="9" operator="lessThan">
      <formula>$H$4</formula>
    </cfRule>
    <cfRule type="cellIs" dxfId="128" priority="10" operator="greaterThan">
      <formula>$H$4</formula>
    </cfRule>
  </conditionalFormatting>
  <pageMargins left="0.7" right="0.7" top="0.75" bottom="0.75" header="0" footer="0"/>
  <pageSetup scale="30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3DB406-C553-A741-BA32-5650968AB719}">
  <sheetPr codeName="Hoja25">
    <tabColor rgb="FF385623"/>
  </sheetPr>
  <dimension ref="A1:J33"/>
  <sheetViews>
    <sheetView zoomScaleNormal="100" workbookViewId="0">
      <selection activeCell="E10" sqref="E10:E12"/>
    </sheetView>
  </sheetViews>
  <sheetFormatPr baseColWidth="10" defaultRowHeight="16"/>
  <cols>
    <col min="1" max="1" width="25.83203125" customWidth="1"/>
    <col min="2" max="2" width="34.6640625" customWidth="1"/>
    <col min="3" max="3" width="35.1640625" customWidth="1"/>
    <col min="4" max="4" width="31.83203125" customWidth="1"/>
    <col min="5" max="5" width="36.5" customWidth="1"/>
    <col min="6" max="6" width="25.33203125" customWidth="1"/>
    <col min="7" max="7" width="23.5" customWidth="1"/>
    <col min="8" max="8" width="28" customWidth="1"/>
    <col min="9" max="9" width="20.33203125" customWidth="1"/>
    <col min="10" max="10" width="33.83203125" customWidth="1"/>
  </cols>
  <sheetData>
    <row r="1" spans="1:10" ht="94" customHeight="1" thickBot="1">
      <c r="A1" s="226" t="e" vm="1">
        <v>#VALUE!</v>
      </c>
      <c r="B1" s="227"/>
      <c r="C1" s="207" t="s">
        <v>0</v>
      </c>
      <c r="D1" s="207"/>
      <c r="E1" s="207"/>
      <c r="F1" s="207"/>
      <c r="G1" s="208"/>
      <c r="H1" s="98" t="s">
        <v>1</v>
      </c>
      <c r="I1" s="183" t="s">
        <v>2</v>
      </c>
      <c r="J1" s="172"/>
    </row>
    <row r="2" spans="1:10" ht="77" customHeight="1" thickBot="1">
      <c r="A2" s="228"/>
      <c r="B2" s="229"/>
      <c r="C2" s="209"/>
      <c r="D2" s="209"/>
      <c r="E2" s="209"/>
      <c r="F2" s="209"/>
      <c r="G2" s="210"/>
      <c r="H2" s="98" t="s">
        <v>3</v>
      </c>
      <c r="I2" s="184">
        <v>45889</v>
      </c>
      <c r="J2" s="172"/>
    </row>
    <row r="3" spans="1:10" ht="24" thickBot="1">
      <c r="A3" s="201" t="s">
        <v>856</v>
      </c>
      <c r="B3" s="202"/>
      <c r="C3" s="202"/>
      <c r="D3" s="202"/>
      <c r="E3" s="199" t="s">
        <v>855</v>
      </c>
      <c r="F3" s="199"/>
      <c r="G3" s="200"/>
      <c r="H3" s="185" t="s">
        <v>843</v>
      </c>
      <c r="I3" s="186"/>
      <c r="J3" s="187"/>
    </row>
    <row r="4" spans="1:10" ht="31" customHeight="1" thickBot="1">
      <c r="A4" s="119" t="s">
        <v>6</v>
      </c>
      <c r="B4" s="231" t="s">
        <v>901</v>
      </c>
      <c r="C4" s="172"/>
      <c r="D4" s="120" t="s">
        <v>8</v>
      </c>
      <c r="E4" s="121" t="s">
        <v>790</v>
      </c>
      <c r="F4" s="230" t="s">
        <v>9</v>
      </c>
      <c r="G4" s="189"/>
      <c r="H4" s="135">
        <v>52000000</v>
      </c>
      <c r="I4" s="123" t="s">
        <v>10</v>
      </c>
      <c r="J4" s="124">
        <v>50766808.5</v>
      </c>
    </row>
    <row r="5" spans="1:10" ht="24" thickBot="1">
      <c r="A5" s="467" t="s">
        <v>11</v>
      </c>
      <c r="B5" s="448"/>
      <c r="C5" s="468" t="s">
        <v>866</v>
      </c>
      <c r="D5" s="246"/>
      <c r="E5" s="448"/>
      <c r="F5" s="469" t="s">
        <v>13</v>
      </c>
      <c r="G5" s="454"/>
      <c r="H5" s="446" t="s">
        <v>867</v>
      </c>
      <c r="I5" s="444" t="s">
        <v>15</v>
      </c>
      <c r="J5" s="446" t="s">
        <v>868</v>
      </c>
    </row>
    <row r="6" spans="1:10" ht="35" thickBot="1">
      <c r="A6" s="121" t="s">
        <v>17</v>
      </c>
      <c r="B6" s="142" t="s">
        <v>18</v>
      </c>
      <c r="C6" s="126" t="s">
        <v>869</v>
      </c>
      <c r="D6" s="143" t="s">
        <v>20</v>
      </c>
      <c r="E6" s="126" t="s">
        <v>870</v>
      </c>
      <c r="F6" s="455"/>
      <c r="G6" s="456"/>
      <c r="H6" s="445"/>
      <c r="I6" s="445"/>
      <c r="J6" s="445"/>
    </row>
    <row r="7" spans="1:10" ht="46" customHeight="1" thickBot="1">
      <c r="A7" s="464" t="s">
        <v>22</v>
      </c>
      <c r="B7" s="448"/>
      <c r="C7" s="447" t="s">
        <v>902</v>
      </c>
      <c r="D7" s="246"/>
      <c r="E7" s="448"/>
      <c r="F7" s="465" t="s">
        <v>23</v>
      </c>
      <c r="G7" s="466"/>
      <c r="H7" s="454"/>
      <c r="I7" s="447" t="s">
        <v>24</v>
      </c>
      <c r="J7" s="448"/>
    </row>
    <row r="8" spans="1:10" ht="19" thickBot="1">
      <c r="A8" s="449" t="s">
        <v>25</v>
      </c>
      <c r="B8" s="450" t="s">
        <v>26</v>
      </c>
      <c r="C8" s="452" t="s">
        <v>27</v>
      </c>
      <c r="D8" s="246"/>
      <c r="E8" s="448"/>
      <c r="F8" s="453" t="s">
        <v>28</v>
      </c>
      <c r="G8" s="454"/>
      <c r="H8" s="457" t="s">
        <v>29</v>
      </c>
      <c r="I8" s="242" t="s">
        <v>30</v>
      </c>
      <c r="J8" s="457" t="s">
        <v>31</v>
      </c>
    </row>
    <row r="9" spans="1:10" ht="17" thickBot="1">
      <c r="A9" s="445"/>
      <c r="B9" s="451"/>
      <c r="C9" s="128" t="s">
        <v>32</v>
      </c>
      <c r="D9" s="129" t="s">
        <v>33</v>
      </c>
      <c r="E9" s="130" t="s">
        <v>34</v>
      </c>
      <c r="F9" s="455"/>
      <c r="G9" s="456"/>
      <c r="H9" s="445"/>
      <c r="I9" s="456"/>
      <c r="J9" s="445"/>
    </row>
    <row r="10" spans="1:10" ht="91" customHeight="1" thickBot="1">
      <c r="A10" s="458" t="s">
        <v>35</v>
      </c>
      <c r="B10" s="256" t="s">
        <v>513</v>
      </c>
      <c r="C10" s="272" t="s">
        <v>514</v>
      </c>
      <c r="D10" s="256" t="s">
        <v>836</v>
      </c>
      <c r="E10" s="256" t="s">
        <v>39</v>
      </c>
      <c r="F10" s="83" t="s">
        <v>839</v>
      </c>
      <c r="G10" s="83" t="s">
        <v>837</v>
      </c>
      <c r="H10" s="256" t="s">
        <v>515</v>
      </c>
      <c r="I10" s="256" t="s">
        <v>836</v>
      </c>
      <c r="J10" s="256" t="s">
        <v>516</v>
      </c>
    </row>
    <row r="11" spans="1:10" ht="37" customHeight="1" thickBot="1">
      <c r="A11" s="238"/>
      <c r="B11" s="257"/>
      <c r="C11" s="273"/>
      <c r="D11" s="257"/>
      <c r="E11" s="257"/>
      <c r="F11" s="261" t="s">
        <v>44</v>
      </c>
      <c r="G11" s="262"/>
      <c r="H11" s="257"/>
      <c r="I11" s="257"/>
      <c r="J11" s="257"/>
    </row>
    <row r="12" spans="1:10" ht="69" thickBot="1">
      <c r="A12" s="445"/>
      <c r="B12" s="258"/>
      <c r="C12" s="274"/>
      <c r="D12" s="258"/>
      <c r="E12" s="258"/>
      <c r="F12" s="83"/>
      <c r="G12" s="84" t="s">
        <v>838</v>
      </c>
      <c r="H12" s="258"/>
      <c r="I12" s="258"/>
      <c r="J12" s="258"/>
    </row>
    <row r="13" spans="1:10" ht="69" thickBot="1">
      <c r="A13" s="449" t="s">
        <v>46</v>
      </c>
      <c r="B13" s="461" t="s">
        <v>871</v>
      </c>
      <c r="C13" s="462" t="s">
        <v>872</v>
      </c>
      <c r="D13" s="459" t="s">
        <v>58</v>
      </c>
      <c r="E13" s="459" t="s">
        <v>39</v>
      </c>
      <c r="F13" s="86">
        <v>90</v>
      </c>
      <c r="G13" s="113" t="s">
        <v>873</v>
      </c>
      <c r="H13" s="459" t="s">
        <v>874</v>
      </c>
      <c r="I13" s="459" t="s">
        <v>123</v>
      </c>
      <c r="J13" s="459" t="s">
        <v>875</v>
      </c>
    </row>
    <row r="14" spans="1:10" ht="17" thickBot="1">
      <c r="A14" s="238"/>
      <c r="B14" s="238"/>
      <c r="C14" s="235"/>
      <c r="D14" s="238"/>
      <c r="E14" s="238"/>
      <c r="F14" s="460" t="s">
        <v>44</v>
      </c>
      <c r="G14" s="246"/>
      <c r="H14" s="238"/>
      <c r="I14" s="238"/>
      <c r="J14" s="238"/>
    </row>
    <row r="15" spans="1:10" ht="35" thickBot="1">
      <c r="A15" s="445"/>
      <c r="B15" s="445"/>
      <c r="C15" s="455"/>
      <c r="D15" s="445"/>
      <c r="E15" s="445"/>
      <c r="F15" s="116"/>
      <c r="G15" s="114" t="s">
        <v>876</v>
      </c>
      <c r="H15" s="445"/>
      <c r="I15" s="445"/>
      <c r="J15" s="445"/>
    </row>
    <row r="16" spans="1:10" ht="103" thickBot="1">
      <c r="A16" s="264" t="s">
        <v>55</v>
      </c>
      <c r="B16" s="446" t="s">
        <v>877</v>
      </c>
      <c r="C16" s="446" t="s">
        <v>878</v>
      </c>
      <c r="D16" s="459" t="s">
        <v>879</v>
      </c>
      <c r="E16" s="446" t="s">
        <v>39</v>
      </c>
      <c r="F16" s="144" t="s">
        <v>880</v>
      </c>
      <c r="G16" s="115" t="s">
        <v>881</v>
      </c>
      <c r="H16" s="459" t="s">
        <v>882</v>
      </c>
      <c r="I16" s="459" t="s">
        <v>883</v>
      </c>
      <c r="J16" s="459" t="s">
        <v>884</v>
      </c>
    </row>
    <row r="17" spans="1:10" ht="17" thickBot="1">
      <c r="A17" s="236"/>
      <c r="B17" s="238"/>
      <c r="C17" s="238"/>
      <c r="D17" s="238"/>
      <c r="E17" s="238"/>
      <c r="F17" s="460" t="s">
        <v>44</v>
      </c>
      <c r="G17" s="246"/>
      <c r="H17" s="238"/>
      <c r="I17" s="238"/>
      <c r="J17" s="238"/>
    </row>
    <row r="18" spans="1:10" ht="137" thickBot="1">
      <c r="A18" s="236"/>
      <c r="B18" s="445"/>
      <c r="C18" s="445"/>
      <c r="D18" s="445"/>
      <c r="E18" s="445"/>
      <c r="F18" s="145" t="s">
        <v>885</v>
      </c>
      <c r="G18" s="117" t="s">
        <v>886</v>
      </c>
      <c r="H18" s="445"/>
      <c r="I18" s="445"/>
      <c r="J18" s="445"/>
    </row>
    <row r="19" spans="1:10" ht="35" thickBot="1">
      <c r="A19" s="236"/>
      <c r="B19" s="446" t="s">
        <v>887</v>
      </c>
      <c r="C19" s="446" t="s">
        <v>888</v>
      </c>
      <c r="D19" s="459" t="s">
        <v>58</v>
      </c>
      <c r="E19" s="446" t="s">
        <v>39</v>
      </c>
      <c r="F19" s="86">
        <v>20</v>
      </c>
      <c r="G19" s="115" t="s">
        <v>59</v>
      </c>
      <c r="H19" s="459" t="s">
        <v>889</v>
      </c>
      <c r="I19" s="459" t="s">
        <v>123</v>
      </c>
      <c r="J19" s="459" t="s">
        <v>884</v>
      </c>
    </row>
    <row r="20" spans="1:10" ht="17" thickBot="1">
      <c r="A20" s="236"/>
      <c r="B20" s="238"/>
      <c r="C20" s="238"/>
      <c r="D20" s="238"/>
      <c r="E20" s="238"/>
      <c r="F20" s="460" t="s">
        <v>44</v>
      </c>
      <c r="G20" s="246"/>
      <c r="H20" s="238"/>
      <c r="I20" s="238"/>
      <c r="J20" s="238"/>
    </row>
    <row r="21" spans="1:10" ht="52" thickBot="1">
      <c r="A21" s="236"/>
      <c r="B21" s="445"/>
      <c r="C21" s="445"/>
      <c r="D21" s="445"/>
      <c r="E21" s="445"/>
      <c r="F21" s="116">
        <v>3</v>
      </c>
      <c r="G21" s="117" t="s">
        <v>63</v>
      </c>
      <c r="H21" s="445"/>
      <c r="I21" s="445"/>
      <c r="J21" s="445"/>
    </row>
    <row r="22" spans="1:10" ht="35" thickBot="1">
      <c r="A22" s="236"/>
      <c r="B22" s="446" t="s">
        <v>890</v>
      </c>
      <c r="C22" s="446" t="s">
        <v>891</v>
      </c>
      <c r="D22" s="459" t="s">
        <v>58</v>
      </c>
      <c r="E22" s="446" t="s">
        <v>39</v>
      </c>
      <c r="F22" s="86">
        <v>80</v>
      </c>
      <c r="G22" s="115" t="s">
        <v>59</v>
      </c>
      <c r="H22" s="459" t="s">
        <v>889</v>
      </c>
      <c r="I22" s="459" t="s">
        <v>123</v>
      </c>
      <c r="J22" s="459" t="s">
        <v>884</v>
      </c>
    </row>
    <row r="23" spans="1:10" ht="17" thickBot="1">
      <c r="A23" s="236"/>
      <c r="B23" s="238"/>
      <c r="C23" s="238"/>
      <c r="D23" s="238"/>
      <c r="E23" s="238"/>
      <c r="F23" s="460" t="s">
        <v>44</v>
      </c>
      <c r="G23" s="246"/>
      <c r="H23" s="238"/>
      <c r="I23" s="238"/>
      <c r="J23" s="238"/>
    </row>
    <row r="24" spans="1:10" ht="52" thickBot="1">
      <c r="A24" s="236"/>
      <c r="B24" s="445"/>
      <c r="C24" s="445"/>
      <c r="D24" s="445"/>
      <c r="E24" s="445"/>
      <c r="F24" s="116">
        <v>5</v>
      </c>
      <c r="G24" s="117" t="s">
        <v>63</v>
      </c>
      <c r="H24" s="445"/>
      <c r="I24" s="445"/>
      <c r="J24" s="445"/>
    </row>
    <row r="25" spans="1:10" ht="35" thickBot="1">
      <c r="A25" s="458" t="s">
        <v>79</v>
      </c>
      <c r="B25" s="446" t="s">
        <v>892</v>
      </c>
      <c r="C25" s="446" t="s">
        <v>893</v>
      </c>
      <c r="D25" s="459" t="s">
        <v>58</v>
      </c>
      <c r="E25" s="446" t="s">
        <v>39</v>
      </c>
      <c r="F25" s="131">
        <v>450</v>
      </c>
      <c r="G25" s="132" t="s">
        <v>153</v>
      </c>
      <c r="H25" s="446" t="s">
        <v>894</v>
      </c>
      <c r="I25" s="459" t="s">
        <v>58</v>
      </c>
      <c r="J25" s="459" t="s">
        <v>895</v>
      </c>
    </row>
    <row r="26" spans="1:10" ht="17" thickBot="1">
      <c r="A26" s="238"/>
      <c r="B26" s="238"/>
      <c r="C26" s="238"/>
      <c r="D26" s="238"/>
      <c r="E26" s="238"/>
      <c r="F26" s="463" t="s">
        <v>44</v>
      </c>
      <c r="G26" s="246"/>
      <c r="H26" s="238"/>
      <c r="I26" s="238"/>
      <c r="J26" s="238"/>
    </row>
    <row r="27" spans="1:10" ht="18" thickBot="1">
      <c r="A27" s="238"/>
      <c r="B27" s="445"/>
      <c r="C27" s="445"/>
      <c r="D27" s="445"/>
      <c r="E27" s="445"/>
      <c r="F27" s="133">
        <v>30</v>
      </c>
      <c r="G27" s="132" t="s">
        <v>44</v>
      </c>
      <c r="H27" s="445"/>
      <c r="I27" s="445"/>
      <c r="J27" s="445"/>
    </row>
    <row r="28" spans="1:10" ht="35" thickBot="1">
      <c r="A28" s="238"/>
      <c r="B28" s="446" t="s">
        <v>896</v>
      </c>
      <c r="C28" s="446" t="s">
        <v>897</v>
      </c>
      <c r="D28" s="459" t="s">
        <v>58</v>
      </c>
      <c r="E28" s="446" t="s">
        <v>39</v>
      </c>
      <c r="F28" s="131">
        <v>2700</v>
      </c>
      <c r="G28" s="132" t="s">
        <v>157</v>
      </c>
      <c r="H28" s="446" t="s">
        <v>898</v>
      </c>
      <c r="I28" s="459" t="s">
        <v>58</v>
      </c>
      <c r="J28" s="459" t="s">
        <v>875</v>
      </c>
    </row>
    <row r="29" spans="1:10" ht="42" customHeight="1" thickBot="1">
      <c r="A29" s="238"/>
      <c r="B29" s="238"/>
      <c r="C29" s="238"/>
      <c r="D29" s="238"/>
      <c r="E29" s="238"/>
      <c r="F29" s="463" t="s">
        <v>44</v>
      </c>
      <c r="G29" s="246"/>
      <c r="H29" s="238"/>
      <c r="I29" s="238"/>
      <c r="J29" s="238"/>
    </row>
    <row r="30" spans="1:10" ht="41" customHeight="1" thickBot="1">
      <c r="A30" s="238"/>
      <c r="B30" s="445"/>
      <c r="C30" s="445"/>
      <c r="D30" s="445"/>
      <c r="E30" s="445"/>
      <c r="F30" s="133">
        <v>120</v>
      </c>
      <c r="G30" s="132" t="s">
        <v>44</v>
      </c>
      <c r="H30" s="445"/>
      <c r="I30" s="445"/>
      <c r="J30" s="445"/>
    </row>
    <row r="31" spans="1:10" ht="17" thickBot="1">
      <c r="A31" s="238"/>
      <c r="B31" s="446" t="s">
        <v>899</v>
      </c>
      <c r="C31" s="446" t="s">
        <v>280</v>
      </c>
      <c r="D31" s="459" t="s">
        <v>58</v>
      </c>
      <c r="E31" s="446" t="s">
        <v>39</v>
      </c>
      <c r="F31" s="131">
        <v>50</v>
      </c>
      <c r="G31" s="137" t="s">
        <v>161</v>
      </c>
      <c r="H31" s="446" t="s">
        <v>900</v>
      </c>
      <c r="I31" s="459" t="s">
        <v>58</v>
      </c>
      <c r="J31" s="459" t="s">
        <v>895</v>
      </c>
    </row>
    <row r="32" spans="1:10" ht="17" thickBot="1">
      <c r="A32" s="238"/>
      <c r="B32" s="238"/>
      <c r="C32" s="238"/>
      <c r="D32" s="238"/>
      <c r="E32" s="238"/>
      <c r="F32" s="463">
        <v>60</v>
      </c>
      <c r="G32" s="246"/>
      <c r="H32" s="238"/>
      <c r="I32" s="238"/>
      <c r="J32" s="238"/>
    </row>
    <row r="33" spans="1:10" ht="73" customHeight="1" thickBot="1">
      <c r="A33" s="445"/>
      <c r="B33" s="445"/>
      <c r="C33" s="445"/>
      <c r="D33" s="445"/>
      <c r="E33" s="445"/>
      <c r="F33" s="133">
        <v>3</v>
      </c>
      <c r="G33" s="137" t="s">
        <v>44</v>
      </c>
      <c r="H33" s="445"/>
      <c r="I33" s="445"/>
      <c r="J33" s="445"/>
    </row>
  </sheetData>
  <mergeCells count="94">
    <mergeCell ref="F32:G32"/>
    <mergeCell ref="I28:I30"/>
    <mergeCell ref="J28:J30"/>
    <mergeCell ref="F29:G29"/>
    <mergeCell ref="B31:B33"/>
    <mergeCell ref="C31:C33"/>
    <mergeCell ref="D31:D33"/>
    <mergeCell ref="E31:E33"/>
    <mergeCell ref="H31:H33"/>
    <mergeCell ref="I31:I33"/>
    <mergeCell ref="J31:J33"/>
    <mergeCell ref="H28:H30"/>
    <mergeCell ref="F26:G26"/>
    <mergeCell ref="B28:B30"/>
    <mergeCell ref="C28:C30"/>
    <mergeCell ref="D28:D30"/>
    <mergeCell ref="E28:E30"/>
    <mergeCell ref="J22:J24"/>
    <mergeCell ref="F23:G23"/>
    <mergeCell ref="A25:A33"/>
    <mergeCell ref="B25:B27"/>
    <mergeCell ref="C25:C27"/>
    <mergeCell ref="D25:D27"/>
    <mergeCell ref="E25:E27"/>
    <mergeCell ref="H25:H27"/>
    <mergeCell ref="I25:I27"/>
    <mergeCell ref="J25:J27"/>
    <mergeCell ref="B22:B24"/>
    <mergeCell ref="C22:C24"/>
    <mergeCell ref="D22:D24"/>
    <mergeCell ref="E22:E24"/>
    <mergeCell ref="H22:H24"/>
    <mergeCell ref="I22:I24"/>
    <mergeCell ref="J16:J18"/>
    <mergeCell ref="F17:G17"/>
    <mergeCell ref="B19:B21"/>
    <mergeCell ref="C19:C21"/>
    <mergeCell ref="D19:D21"/>
    <mergeCell ref="E19:E21"/>
    <mergeCell ref="H19:H21"/>
    <mergeCell ref="I19:I21"/>
    <mergeCell ref="J19:J21"/>
    <mergeCell ref="F20:G20"/>
    <mergeCell ref="I13:I15"/>
    <mergeCell ref="J13:J15"/>
    <mergeCell ref="F14:G14"/>
    <mergeCell ref="A16:A24"/>
    <mergeCell ref="B16:B18"/>
    <mergeCell ref="C16:C18"/>
    <mergeCell ref="D16:D18"/>
    <mergeCell ref="E16:E18"/>
    <mergeCell ref="H16:H18"/>
    <mergeCell ref="I16:I18"/>
    <mergeCell ref="A13:A15"/>
    <mergeCell ref="B13:B15"/>
    <mergeCell ref="C13:C15"/>
    <mergeCell ref="D13:D15"/>
    <mergeCell ref="E13:E15"/>
    <mergeCell ref="H13:H15"/>
    <mergeCell ref="J8:J9"/>
    <mergeCell ref="A10:A12"/>
    <mergeCell ref="B10:B12"/>
    <mergeCell ref="C10:C12"/>
    <mergeCell ref="D10:D12"/>
    <mergeCell ref="E10:E12"/>
    <mergeCell ref="H10:H12"/>
    <mergeCell ref="I10:I12"/>
    <mergeCell ref="J10:J12"/>
    <mergeCell ref="F11:G11"/>
    <mergeCell ref="A8:A9"/>
    <mergeCell ref="B8:B9"/>
    <mergeCell ref="C8:E8"/>
    <mergeCell ref="F8:G9"/>
    <mergeCell ref="H8:H9"/>
    <mergeCell ref="I8:I9"/>
    <mergeCell ref="I5:I6"/>
    <mergeCell ref="J5:J6"/>
    <mergeCell ref="A7:B7"/>
    <mergeCell ref="C7:E7"/>
    <mergeCell ref="F7:H7"/>
    <mergeCell ref="I7:J7"/>
    <mergeCell ref="H5:H6"/>
    <mergeCell ref="B4:C4"/>
    <mergeCell ref="F4:G4"/>
    <mergeCell ref="A5:B5"/>
    <mergeCell ref="C5:E5"/>
    <mergeCell ref="F5:G6"/>
    <mergeCell ref="A1:B2"/>
    <mergeCell ref="C1:G2"/>
    <mergeCell ref="I1:J1"/>
    <mergeCell ref="I2:J2"/>
    <mergeCell ref="A3:D3"/>
    <mergeCell ref="E3:G3"/>
    <mergeCell ref="H3:J3"/>
  </mergeCells>
  <conditionalFormatting sqref="F15">
    <cfRule type="cellIs" dxfId="127" priority="3" operator="greaterThan">
      <formula>$F$13</formula>
    </cfRule>
    <cfRule type="cellIs" dxfId="126" priority="4" operator="lessThan">
      <formula>$F$13</formula>
    </cfRule>
    <cfRule type="cellIs" dxfId="125" priority="5" operator="lessThan">
      <formula>$F$16</formula>
    </cfRule>
    <cfRule type="cellIs" dxfId="124" priority="6" operator="greaterThanOrEqual">
      <formula>$F$16</formula>
    </cfRule>
  </conditionalFormatting>
  <conditionalFormatting sqref="F21 F24">
    <cfRule type="cellIs" dxfId="123" priority="7" operator="lessThan">
      <formula>70</formula>
    </cfRule>
    <cfRule type="cellIs" dxfId="122" priority="8" operator="greaterThanOrEqual">
      <formula>80</formula>
    </cfRule>
  </conditionalFormatting>
  <conditionalFormatting sqref="F27">
    <cfRule type="cellIs" dxfId="121" priority="9" operator="lessThan">
      <formula>800</formula>
    </cfRule>
    <cfRule type="cellIs" dxfId="120" priority="10" operator="greaterThanOrEqual">
      <formula>801</formula>
    </cfRule>
  </conditionalFormatting>
  <conditionalFormatting sqref="F30">
    <cfRule type="cellIs" dxfId="119" priority="11" operator="lessThan">
      <formula>2000</formula>
    </cfRule>
    <cfRule type="cellIs" dxfId="118" priority="12" operator="greaterThanOrEqual">
      <formula>2000</formula>
    </cfRule>
  </conditionalFormatting>
  <conditionalFormatting sqref="F33">
    <cfRule type="cellIs" dxfId="117" priority="13" operator="lessThan">
      <formula>100</formula>
    </cfRule>
    <cfRule type="cellIs" dxfId="116" priority="14" operator="greaterThanOrEqual">
      <formula>100</formula>
    </cfRule>
  </conditionalFormatting>
  <conditionalFormatting sqref="J4">
    <cfRule type="cellIs" dxfId="115" priority="1" operator="lessThan">
      <formula>$H$4</formula>
    </cfRule>
    <cfRule type="cellIs" dxfId="114" priority="2" operator="greaterThan">
      <formula>$H$4</formula>
    </cfRule>
  </conditionalFormatting>
  <pageMargins left="0.7" right="0.7" top="0.75" bottom="0.75" header="0.3" footer="0.3"/>
  <pageSetup scale="28" orientation="portrait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53F23-F4F6-2343-BBCA-B7FA978E6D6E}">
  <sheetPr codeName="Hoja18">
    <tabColor rgb="FF385623"/>
  </sheetPr>
  <dimension ref="A1:Z1003"/>
  <sheetViews>
    <sheetView topLeftCell="A12" zoomScaleNormal="100" workbookViewId="0">
      <selection activeCell="L20" sqref="L20"/>
    </sheetView>
  </sheetViews>
  <sheetFormatPr baseColWidth="10" defaultColWidth="11.1640625" defaultRowHeight="15" customHeight="1"/>
  <cols>
    <col min="1" max="1" width="26.33203125" style="73" customWidth="1"/>
    <col min="2" max="2" width="27.6640625" style="73" customWidth="1"/>
    <col min="3" max="3" width="31.33203125" style="73" customWidth="1"/>
    <col min="4" max="4" width="27.83203125" style="73" customWidth="1"/>
    <col min="5" max="5" width="44.6640625" style="73" customWidth="1"/>
    <col min="6" max="6" width="19.33203125" style="73" customWidth="1"/>
    <col min="7" max="7" width="31" style="73" customWidth="1"/>
    <col min="8" max="8" width="26" style="73" customWidth="1"/>
    <col min="9" max="9" width="32.1640625" style="73" customWidth="1"/>
    <col min="10" max="10" width="30.33203125" style="73" customWidth="1"/>
    <col min="11" max="26" width="10.5" style="73" customWidth="1"/>
    <col min="27" max="16384" width="11.1640625" style="73"/>
  </cols>
  <sheetData>
    <row r="1" spans="1:26" ht="102.75" customHeight="1" thickBot="1">
      <c r="A1" s="203" t="e" vm="1">
        <v>#VALUE!</v>
      </c>
      <c r="B1" s="204"/>
      <c r="C1" s="395" t="s">
        <v>281</v>
      </c>
      <c r="D1" s="396"/>
      <c r="E1" s="396"/>
      <c r="F1" s="396"/>
      <c r="G1" s="397"/>
      <c r="H1" s="75" t="s">
        <v>166</v>
      </c>
      <c r="I1" s="402" t="s">
        <v>508</v>
      </c>
      <c r="J1" s="403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2"/>
    </row>
    <row r="2" spans="1:26" ht="102.75" customHeight="1" thickBot="1">
      <c r="A2" s="205"/>
      <c r="B2" s="206"/>
      <c r="C2" s="398"/>
      <c r="D2" s="399"/>
      <c r="E2" s="399"/>
      <c r="F2" s="400"/>
      <c r="G2" s="401"/>
      <c r="H2" s="75" t="s">
        <v>168</v>
      </c>
      <c r="I2" s="404">
        <v>45671</v>
      </c>
      <c r="J2" s="403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</row>
    <row r="3" spans="1:26" ht="33" customHeight="1" thickBot="1">
      <c r="A3" s="410" t="s">
        <v>798</v>
      </c>
      <c r="B3" s="411"/>
      <c r="C3" s="411"/>
      <c r="D3" s="411"/>
      <c r="E3" s="412"/>
      <c r="F3" s="408" t="s">
        <v>796</v>
      </c>
      <c r="G3" s="409"/>
      <c r="H3" s="405" t="s">
        <v>843</v>
      </c>
      <c r="I3" s="406"/>
      <c r="J3" s="407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</row>
    <row r="4" spans="1:26" ht="33" customHeight="1" thickBot="1">
      <c r="A4" s="417" t="s">
        <v>8</v>
      </c>
      <c r="B4" s="417"/>
      <c r="C4" s="418"/>
      <c r="D4" s="415">
        <v>2026</v>
      </c>
      <c r="E4" s="416"/>
      <c r="F4" s="413" t="s">
        <v>9</v>
      </c>
      <c r="G4" s="351"/>
      <c r="H4" s="91">
        <v>29000000</v>
      </c>
      <c r="I4" s="76" t="s">
        <v>10</v>
      </c>
      <c r="J4" s="77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</row>
    <row r="5" spans="1:26" ht="33" customHeight="1" thickBot="1">
      <c r="A5" s="410" t="s">
        <v>11</v>
      </c>
      <c r="B5" s="414"/>
      <c r="C5" s="419" t="s">
        <v>510</v>
      </c>
      <c r="D5" s="420"/>
      <c r="E5" s="420"/>
      <c r="F5" s="420"/>
      <c r="G5" s="420"/>
      <c r="H5" s="420"/>
      <c r="I5" s="420"/>
      <c r="J5" s="421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</row>
    <row r="6" spans="1:26" ht="222.75" customHeight="1" thickBot="1">
      <c r="A6" s="78" t="s">
        <v>17</v>
      </c>
      <c r="B6" s="79" t="s">
        <v>18</v>
      </c>
      <c r="C6" s="92" t="s">
        <v>511</v>
      </c>
      <c r="D6" s="93" t="s">
        <v>20</v>
      </c>
      <c r="E6" s="92" t="s">
        <v>842</v>
      </c>
      <c r="F6" s="386" t="s">
        <v>13</v>
      </c>
      <c r="G6" s="387"/>
      <c r="H6" s="92" t="s">
        <v>841</v>
      </c>
      <c r="I6" s="93" t="s">
        <v>15</v>
      </c>
      <c r="J6" s="92" t="s">
        <v>840</v>
      </c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</row>
    <row r="7" spans="1:26" ht="33" customHeight="1" thickBot="1">
      <c r="A7" s="388" t="s">
        <v>22</v>
      </c>
      <c r="B7" s="364"/>
      <c r="C7" s="389" t="s">
        <v>797</v>
      </c>
      <c r="D7" s="355"/>
      <c r="E7" s="364"/>
      <c r="F7" s="392" t="s">
        <v>23</v>
      </c>
      <c r="G7" s="393"/>
      <c r="H7" s="354"/>
      <c r="I7" s="389" t="s">
        <v>512</v>
      </c>
      <c r="J7" s="364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2"/>
      <c r="X7" s="72"/>
      <c r="Y7" s="72"/>
      <c r="Z7" s="72"/>
    </row>
    <row r="8" spans="1:26" ht="15.75" customHeight="1" thickBot="1">
      <c r="A8" s="394" t="s">
        <v>25</v>
      </c>
      <c r="B8" s="422" t="s">
        <v>26</v>
      </c>
      <c r="C8" s="424" t="s">
        <v>27</v>
      </c>
      <c r="D8" s="355"/>
      <c r="E8" s="364"/>
      <c r="F8" s="425" t="s">
        <v>28</v>
      </c>
      <c r="G8" s="371"/>
      <c r="H8" s="391" t="s">
        <v>29</v>
      </c>
      <c r="I8" s="390" t="s">
        <v>30</v>
      </c>
      <c r="J8" s="391" t="s">
        <v>31</v>
      </c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</row>
    <row r="9" spans="1:26" ht="15.75" customHeight="1" thickBot="1">
      <c r="A9" s="258"/>
      <c r="B9" s="423"/>
      <c r="C9" s="80" t="s">
        <v>32</v>
      </c>
      <c r="D9" s="81" t="s">
        <v>33</v>
      </c>
      <c r="E9" s="82" t="s">
        <v>34</v>
      </c>
      <c r="F9" s="372"/>
      <c r="G9" s="373"/>
      <c r="H9" s="258"/>
      <c r="I9" s="366"/>
      <c r="J9" s="258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</row>
    <row r="10" spans="1:26" ht="92" customHeight="1" thickBot="1">
      <c r="A10" s="382" t="s">
        <v>35</v>
      </c>
      <c r="B10" s="256" t="s">
        <v>513</v>
      </c>
      <c r="C10" s="272" t="s">
        <v>514</v>
      </c>
      <c r="D10" s="256" t="s">
        <v>836</v>
      </c>
      <c r="E10" s="256" t="s">
        <v>39</v>
      </c>
      <c r="F10" s="83" t="s">
        <v>839</v>
      </c>
      <c r="G10" s="83" t="s">
        <v>837</v>
      </c>
      <c r="H10" s="256" t="s">
        <v>515</v>
      </c>
      <c r="I10" s="256" t="s">
        <v>836</v>
      </c>
      <c r="J10" s="256" t="s">
        <v>516</v>
      </c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2"/>
      <c r="X10" s="72"/>
      <c r="Y10" s="72"/>
      <c r="Z10" s="72"/>
    </row>
    <row r="11" spans="1:26" ht="34.5" customHeight="1" thickBot="1">
      <c r="A11" s="257"/>
      <c r="B11" s="257"/>
      <c r="C11" s="273"/>
      <c r="D11" s="257"/>
      <c r="E11" s="257"/>
      <c r="F11" s="261" t="s">
        <v>44</v>
      </c>
      <c r="G11" s="262"/>
      <c r="H11" s="257"/>
      <c r="I11" s="257"/>
      <c r="J11" s="257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</row>
    <row r="12" spans="1:26" ht="126" customHeight="1" thickBot="1">
      <c r="A12" s="258"/>
      <c r="B12" s="258"/>
      <c r="C12" s="274"/>
      <c r="D12" s="258"/>
      <c r="E12" s="258"/>
      <c r="F12" s="83"/>
      <c r="G12" s="84" t="s">
        <v>838</v>
      </c>
      <c r="H12" s="258"/>
      <c r="I12" s="258"/>
      <c r="J12" s="258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2"/>
      <c r="X12" s="72"/>
      <c r="Y12" s="72"/>
      <c r="Z12" s="72"/>
    </row>
    <row r="13" spans="1:26" ht="60" customHeight="1" thickBot="1">
      <c r="A13" s="381" t="s">
        <v>46</v>
      </c>
      <c r="B13" s="427" t="s">
        <v>517</v>
      </c>
      <c r="C13" s="256" t="s">
        <v>518</v>
      </c>
      <c r="D13" s="256" t="s">
        <v>519</v>
      </c>
      <c r="E13" s="256" t="s">
        <v>39</v>
      </c>
      <c r="F13" s="83">
        <v>36.299999999999997</v>
      </c>
      <c r="G13" s="85" t="s">
        <v>520</v>
      </c>
      <c r="H13" s="256" t="s">
        <v>521</v>
      </c>
      <c r="I13" s="256" t="s">
        <v>522</v>
      </c>
      <c r="J13" s="256" t="s">
        <v>516</v>
      </c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2"/>
      <c r="X13" s="72"/>
      <c r="Y13" s="72"/>
      <c r="Z13" s="72"/>
    </row>
    <row r="14" spans="1:26" ht="39" customHeight="1" thickBot="1">
      <c r="A14" s="257"/>
      <c r="B14" s="257"/>
      <c r="C14" s="257"/>
      <c r="D14" s="257"/>
      <c r="E14" s="257"/>
      <c r="F14" s="261" t="s">
        <v>44</v>
      </c>
      <c r="G14" s="262"/>
      <c r="H14" s="257"/>
      <c r="I14" s="257"/>
      <c r="J14" s="257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W14" s="72"/>
      <c r="X14" s="72"/>
      <c r="Y14" s="72"/>
      <c r="Z14" s="72"/>
    </row>
    <row r="15" spans="1:26" ht="70.5" customHeight="1" thickBot="1">
      <c r="A15" s="258"/>
      <c r="B15" s="258"/>
      <c r="C15" s="258"/>
      <c r="D15" s="258"/>
      <c r="E15" s="258"/>
      <c r="F15" s="86"/>
      <c r="G15" s="87" t="s">
        <v>523</v>
      </c>
      <c r="H15" s="258"/>
      <c r="I15" s="258"/>
      <c r="J15" s="258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W15" s="72"/>
      <c r="X15" s="72"/>
      <c r="Y15" s="72"/>
      <c r="Z15" s="72"/>
    </row>
    <row r="16" spans="1:26" ht="48.75" customHeight="1" thickBot="1">
      <c r="A16" s="440" t="s">
        <v>854</v>
      </c>
      <c r="B16" s="256" t="s">
        <v>524</v>
      </c>
      <c r="C16" s="256" t="s">
        <v>830</v>
      </c>
      <c r="D16" s="256" t="s">
        <v>831</v>
      </c>
      <c r="E16" s="256" t="s">
        <v>832</v>
      </c>
      <c r="F16" s="88" t="s">
        <v>834</v>
      </c>
      <c r="G16" s="85" t="s">
        <v>833</v>
      </c>
      <c r="H16" s="256" t="s">
        <v>844</v>
      </c>
      <c r="I16" s="256" t="s">
        <v>845</v>
      </c>
      <c r="J16" s="256" t="s">
        <v>516</v>
      </c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W16" s="72"/>
      <c r="X16" s="72"/>
      <c r="Y16" s="72"/>
      <c r="Z16" s="72"/>
    </row>
    <row r="17" spans="1:26" ht="30.75" customHeight="1" thickBot="1">
      <c r="A17" s="432"/>
      <c r="B17" s="257"/>
      <c r="C17" s="257"/>
      <c r="D17" s="257"/>
      <c r="E17" s="257"/>
      <c r="F17" s="261" t="s">
        <v>44</v>
      </c>
      <c r="G17" s="262"/>
      <c r="H17" s="257"/>
      <c r="I17" s="257"/>
      <c r="J17" s="257"/>
      <c r="K17" s="72"/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  <c r="W17" s="72"/>
      <c r="X17" s="72"/>
      <c r="Y17" s="72"/>
      <c r="Z17" s="72"/>
    </row>
    <row r="18" spans="1:26" ht="108" customHeight="1" thickBot="1">
      <c r="A18" s="432"/>
      <c r="B18" s="258"/>
      <c r="C18" s="258"/>
      <c r="D18" s="258"/>
      <c r="E18" s="258"/>
      <c r="F18" s="86"/>
      <c r="G18" s="87" t="s">
        <v>835</v>
      </c>
      <c r="H18" s="258"/>
      <c r="I18" s="258"/>
      <c r="J18" s="258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</row>
    <row r="19" spans="1:26" ht="117.75" customHeight="1" thickBot="1">
      <c r="A19" s="432"/>
      <c r="B19" s="256" t="s">
        <v>525</v>
      </c>
      <c r="C19" s="256" t="s">
        <v>827</v>
      </c>
      <c r="D19" s="256" t="s">
        <v>846</v>
      </c>
      <c r="E19" s="256" t="s">
        <v>39</v>
      </c>
      <c r="F19" s="88">
        <v>40</v>
      </c>
      <c r="G19" s="85" t="s">
        <v>826</v>
      </c>
      <c r="H19" s="256" t="s">
        <v>829</v>
      </c>
      <c r="I19" s="256" t="s">
        <v>847</v>
      </c>
      <c r="J19" s="256" t="s">
        <v>516</v>
      </c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</row>
    <row r="20" spans="1:26" ht="54.75" customHeight="1" thickBot="1">
      <c r="A20" s="432"/>
      <c r="B20" s="257"/>
      <c r="C20" s="257"/>
      <c r="D20" s="257"/>
      <c r="E20" s="257"/>
      <c r="F20" s="261" t="s">
        <v>44</v>
      </c>
      <c r="G20" s="262"/>
      <c r="H20" s="257"/>
      <c r="I20" s="257"/>
      <c r="J20" s="257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72"/>
      <c r="X20" s="72"/>
      <c r="Y20" s="72"/>
      <c r="Z20" s="72"/>
    </row>
    <row r="21" spans="1:26" ht="72.75" customHeight="1" thickBot="1">
      <c r="A21" s="432"/>
      <c r="B21" s="258"/>
      <c r="C21" s="258"/>
      <c r="D21" s="258"/>
      <c r="E21" s="258"/>
      <c r="F21" s="86"/>
      <c r="G21" s="87" t="s">
        <v>828</v>
      </c>
      <c r="H21" s="258"/>
      <c r="I21" s="258"/>
      <c r="J21" s="258"/>
      <c r="K21" s="72"/>
      <c r="L21" s="72"/>
      <c r="M21" s="72"/>
      <c r="N21" s="72"/>
      <c r="O21" s="72"/>
      <c r="P21" s="72"/>
      <c r="Q21" s="72"/>
      <c r="R21" s="72"/>
      <c r="S21" s="72"/>
      <c r="T21" s="72"/>
      <c r="U21" s="72"/>
      <c r="V21" s="72"/>
      <c r="W21" s="72"/>
      <c r="X21" s="72"/>
      <c r="Y21" s="72"/>
      <c r="Z21" s="72"/>
    </row>
    <row r="22" spans="1:26" ht="73.5" customHeight="1" thickBot="1">
      <c r="A22" s="432"/>
      <c r="B22" s="256" t="s">
        <v>526</v>
      </c>
      <c r="C22" s="256" t="s">
        <v>821</v>
      </c>
      <c r="D22" s="256" t="s">
        <v>820</v>
      </c>
      <c r="E22" s="256" t="s">
        <v>39</v>
      </c>
      <c r="F22" s="94">
        <v>0.08</v>
      </c>
      <c r="G22" s="85" t="s">
        <v>822</v>
      </c>
      <c r="H22" s="256" t="s">
        <v>824</v>
      </c>
      <c r="I22" s="256" t="s">
        <v>825</v>
      </c>
      <c r="J22" s="256" t="s">
        <v>529</v>
      </c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W22" s="72"/>
      <c r="X22" s="72"/>
      <c r="Y22" s="72"/>
      <c r="Z22" s="72"/>
    </row>
    <row r="23" spans="1:26" ht="51.75" customHeight="1" thickBot="1">
      <c r="A23" s="432"/>
      <c r="B23" s="257"/>
      <c r="C23" s="257"/>
      <c r="D23" s="257"/>
      <c r="E23" s="257"/>
      <c r="F23" s="261" t="s">
        <v>44</v>
      </c>
      <c r="G23" s="262"/>
      <c r="H23" s="257"/>
      <c r="I23" s="257"/>
      <c r="J23" s="257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</row>
    <row r="24" spans="1:26" ht="57" customHeight="1" thickBot="1">
      <c r="A24" s="369"/>
      <c r="B24" s="426"/>
      <c r="C24" s="258"/>
      <c r="D24" s="258"/>
      <c r="E24" s="258"/>
      <c r="F24" s="86"/>
      <c r="G24" s="87" t="s">
        <v>823</v>
      </c>
      <c r="H24" s="258"/>
      <c r="I24" s="258"/>
      <c r="J24" s="258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</row>
    <row r="25" spans="1:26" ht="70.5" customHeight="1" thickBot="1">
      <c r="A25" s="440" t="s">
        <v>799</v>
      </c>
      <c r="B25" s="431" t="s">
        <v>810</v>
      </c>
      <c r="C25" s="438" t="s">
        <v>811</v>
      </c>
      <c r="D25" s="256" t="s">
        <v>792</v>
      </c>
      <c r="E25" s="256" t="s">
        <v>39</v>
      </c>
      <c r="F25" s="83">
        <v>600</v>
      </c>
      <c r="G25" s="84" t="s">
        <v>812</v>
      </c>
      <c r="H25" s="256" t="s">
        <v>848</v>
      </c>
      <c r="I25" s="441" t="s">
        <v>849</v>
      </c>
      <c r="J25" s="256" t="s">
        <v>529</v>
      </c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</row>
    <row r="26" spans="1:26" ht="36" customHeight="1" thickBot="1">
      <c r="A26" s="432"/>
      <c r="B26" s="432"/>
      <c r="C26" s="362"/>
      <c r="D26" s="257"/>
      <c r="E26" s="257"/>
      <c r="F26" s="434" t="s">
        <v>44</v>
      </c>
      <c r="G26" s="364"/>
      <c r="H26" s="257"/>
      <c r="I26" s="257"/>
      <c r="J26" s="257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W26" s="72"/>
      <c r="X26" s="72"/>
      <c r="Y26" s="72"/>
      <c r="Z26" s="72"/>
    </row>
    <row r="27" spans="1:26" ht="55.5" customHeight="1" thickBot="1">
      <c r="A27" s="432"/>
      <c r="B27" s="369"/>
      <c r="C27" s="362"/>
      <c r="D27" s="426"/>
      <c r="E27" s="426"/>
      <c r="F27" s="86"/>
      <c r="G27" s="84" t="s">
        <v>813</v>
      </c>
      <c r="H27" s="426"/>
      <c r="I27" s="258"/>
      <c r="J27" s="258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W27" s="72"/>
      <c r="X27" s="72"/>
      <c r="Y27" s="72"/>
      <c r="Z27" s="72"/>
    </row>
    <row r="28" spans="1:26" ht="55.5" customHeight="1" thickBot="1">
      <c r="A28" s="432"/>
      <c r="B28" s="428" t="s">
        <v>814</v>
      </c>
      <c r="C28" s="428" t="s">
        <v>815</v>
      </c>
      <c r="D28" s="431" t="s">
        <v>792</v>
      </c>
      <c r="E28" s="433" t="s">
        <v>39</v>
      </c>
      <c r="F28" s="83">
        <v>50</v>
      </c>
      <c r="G28" s="85" t="s">
        <v>816</v>
      </c>
      <c r="H28" s="431" t="s">
        <v>818</v>
      </c>
      <c r="I28" s="441" t="s">
        <v>819</v>
      </c>
      <c r="J28" s="256" t="s">
        <v>808</v>
      </c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W28" s="72"/>
      <c r="X28" s="72"/>
      <c r="Y28" s="72"/>
      <c r="Z28" s="72"/>
    </row>
    <row r="29" spans="1:26" ht="55.5" customHeight="1" thickBot="1">
      <c r="A29" s="432"/>
      <c r="B29" s="429"/>
      <c r="C29" s="429"/>
      <c r="D29" s="432"/>
      <c r="E29" s="351"/>
      <c r="F29" s="434" t="s">
        <v>44</v>
      </c>
      <c r="G29" s="356"/>
      <c r="H29" s="432"/>
      <c r="I29" s="257"/>
      <c r="J29" s="257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W29" s="72"/>
      <c r="X29" s="72"/>
      <c r="Y29" s="72"/>
      <c r="Z29" s="72"/>
    </row>
    <row r="30" spans="1:26" ht="55.5" customHeight="1" thickBot="1">
      <c r="A30" s="432"/>
      <c r="B30" s="430"/>
      <c r="C30" s="430"/>
      <c r="D30" s="369"/>
      <c r="E30" s="351"/>
      <c r="F30" s="97"/>
      <c r="G30" s="85" t="s">
        <v>817</v>
      </c>
      <c r="H30" s="369"/>
      <c r="I30" s="258"/>
      <c r="J30" s="258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</row>
    <row r="31" spans="1:26" ht="99" customHeight="1" thickBot="1">
      <c r="A31" s="432"/>
      <c r="B31" s="442" t="s">
        <v>803</v>
      </c>
      <c r="C31" s="443" t="s">
        <v>527</v>
      </c>
      <c r="D31" s="441" t="s">
        <v>792</v>
      </c>
      <c r="E31" s="256" t="s">
        <v>39</v>
      </c>
      <c r="F31" s="83">
        <v>1000</v>
      </c>
      <c r="G31" s="84" t="s">
        <v>528</v>
      </c>
      <c r="H31" s="441" t="s">
        <v>850</v>
      </c>
      <c r="I31" s="441" t="s">
        <v>851</v>
      </c>
      <c r="J31" s="256" t="s">
        <v>808</v>
      </c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</row>
    <row r="32" spans="1:26" ht="36" customHeight="1" thickBot="1">
      <c r="A32" s="432"/>
      <c r="B32" s="351"/>
      <c r="C32" s="273"/>
      <c r="D32" s="257"/>
      <c r="E32" s="257"/>
      <c r="F32" s="261" t="s">
        <v>44</v>
      </c>
      <c r="G32" s="364"/>
      <c r="H32" s="257"/>
      <c r="I32" s="257"/>
      <c r="J32" s="257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</row>
    <row r="33" spans="1:26" ht="93" customHeight="1" thickBot="1">
      <c r="A33" s="432"/>
      <c r="B33" s="351"/>
      <c r="C33" s="274"/>
      <c r="D33" s="258"/>
      <c r="E33" s="426"/>
      <c r="F33" s="86"/>
      <c r="G33" s="84" t="s">
        <v>530</v>
      </c>
      <c r="H33" s="258"/>
      <c r="I33" s="258"/>
      <c r="J33" s="258"/>
      <c r="K33" s="72"/>
      <c r="L33" s="72"/>
      <c r="M33" s="72"/>
      <c r="N33" s="72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</row>
    <row r="34" spans="1:26" ht="72" customHeight="1" thickBot="1">
      <c r="A34" s="432"/>
      <c r="B34" s="433" t="s">
        <v>804</v>
      </c>
      <c r="C34" s="272" t="s">
        <v>805</v>
      </c>
      <c r="D34" s="256" t="s">
        <v>792</v>
      </c>
      <c r="E34" s="256" t="s">
        <v>39</v>
      </c>
      <c r="F34" s="83">
        <v>105</v>
      </c>
      <c r="G34" s="84" t="s">
        <v>806</v>
      </c>
      <c r="H34" s="256" t="s">
        <v>852</v>
      </c>
      <c r="I34" s="256" t="s">
        <v>809</v>
      </c>
      <c r="J34" s="256" t="s">
        <v>808</v>
      </c>
      <c r="K34" s="72"/>
      <c r="L34" s="72"/>
      <c r="M34" s="72"/>
      <c r="N34" s="72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</row>
    <row r="35" spans="1:26" ht="72" customHeight="1" thickBot="1">
      <c r="A35" s="432"/>
      <c r="B35" s="351"/>
      <c r="C35" s="273"/>
      <c r="D35" s="257"/>
      <c r="E35" s="257"/>
      <c r="F35" s="434" t="s">
        <v>44</v>
      </c>
      <c r="G35" s="364"/>
      <c r="H35" s="257"/>
      <c r="I35" s="257"/>
      <c r="J35" s="257"/>
      <c r="K35" s="72"/>
      <c r="L35" s="72"/>
      <c r="M35" s="72"/>
      <c r="N35" s="72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</row>
    <row r="36" spans="1:26" ht="72" customHeight="1" thickBot="1">
      <c r="A36" s="432"/>
      <c r="B36" s="351"/>
      <c r="C36" s="274"/>
      <c r="D36" s="258"/>
      <c r="E36" s="258"/>
      <c r="F36" s="89"/>
      <c r="G36" s="84" t="s">
        <v>807</v>
      </c>
      <c r="H36" s="258"/>
      <c r="I36" s="258"/>
      <c r="J36" s="258"/>
      <c r="K36" s="72"/>
      <c r="L36" s="72"/>
      <c r="M36" s="72"/>
      <c r="N36" s="72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</row>
    <row r="37" spans="1:26" ht="72" customHeight="1" thickBot="1">
      <c r="A37" s="432"/>
      <c r="B37" s="435" t="s">
        <v>791</v>
      </c>
      <c r="C37" s="438" t="s">
        <v>802</v>
      </c>
      <c r="D37" s="256" t="s">
        <v>792</v>
      </c>
      <c r="E37" s="256" t="s">
        <v>39</v>
      </c>
      <c r="F37" s="83">
        <v>1000</v>
      </c>
      <c r="G37" s="84" t="s">
        <v>801</v>
      </c>
      <c r="H37" s="256" t="s">
        <v>853</v>
      </c>
      <c r="I37" s="256" t="s">
        <v>794</v>
      </c>
      <c r="J37" s="256" t="s">
        <v>795</v>
      </c>
      <c r="K37" s="72"/>
      <c r="L37" s="72"/>
      <c r="M37" s="72"/>
      <c r="N37" s="72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</row>
    <row r="38" spans="1:26" ht="72" customHeight="1" thickBot="1">
      <c r="A38" s="432"/>
      <c r="B38" s="436"/>
      <c r="C38" s="362"/>
      <c r="D38" s="257"/>
      <c r="E38" s="257"/>
      <c r="F38" s="434" t="s">
        <v>44</v>
      </c>
      <c r="G38" s="364"/>
      <c r="H38" s="257"/>
      <c r="I38" s="257"/>
      <c r="J38" s="257"/>
      <c r="K38" s="72"/>
      <c r="L38" s="72"/>
      <c r="M38" s="72"/>
      <c r="N38" s="72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</row>
    <row r="39" spans="1:26" ht="72" customHeight="1" thickBot="1">
      <c r="A39" s="369"/>
      <c r="B39" s="437"/>
      <c r="C39" s="439"/>
      <c r="D39" s="258"/>
      <c r="E39" s="258"/>
      <c r="F39" s="89"/>
      <c r="G39" s="84" t="s">
        <v>800</v>
      </c>
      <c r="H39" s="258"/>
      <c r="I39" s="258"/>
      <c r="J39" s="258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</row>
    <row r="40" spans="1:26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</row>
    <row r="41" spans="1:26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</row>
    <row r="42" spans="1:26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4" t="s">
        <v>793</v>
      </c>
    </row>
    <row r="43" spans="1:26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 t="str">
        <f>UPPER(Z42)</f>
        <v>COMPROBAR QUE LOS ESTUDIANTES BENEFICIADOS REALMENTE UTILIZAN EL TRANSPORTE PÚBLICO EN EL MUNICIPIO Y CUMPLEN CON LOS REQUISITOS DE ELEGIBILIDAD ESTABLECIDOS POR EL AYUNTAMIENTO.</v>
      </c>
    </row>
    <row r="44" spans="1:26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72"/>
      <c r="L44" s="72"/>
      <c r="M44" s="72"/>
      <c r="N44" s="72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</row>
    <row r="45" spans="1:26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72"/>
      <c r="L45" s="72"/>
      <c r="M45" s="72"/>
      <c r="N45" s="72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</row>
    <row r="46" spans="1:26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72"/>
      <c r="L46" s="72"/>
      <c r="M46" s="72"/>
      <c r="N46" s="72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</row>
    <row r="47" spans="1:26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72"/>
      <c r="L47" s="72"/>
      <c r="M47" s="72"/>
      <c r="N47" s="72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</row>
    <row r="48" spans="1:26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72"/>
      <c r="L48" s="72"/>
      <c r="M48" s="72"/>
      <c r="N48" s="72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</row>
    <row r="49" spans="1:26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72"/>
      <c r="L49" s="72"/>
      <c r="M49" s="72"/>
      <c r="N49" s="72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</row>
    <row r="50" spans="1:26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72"/>
      <c r="L50" s="72"/>
      <c r="M50" s="72"/>
      <c r="N50" s="72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</row>
    <row r="51" spans="1:26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72"/>
      <c r="L51" s="72"/>
      <c r="M51" s="72"/>
      <c r="N51" s="72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</row>
    <row r="52" spans="1:26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72"/>
      <c r="L52" s="72"/>
      <c r="M52" s="72"/>
      <c r="N52" s="72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</row>
    <row r="53" spans="1:26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72"/>
      <c r="L53" s="72"/>
      <c r="M53" s="72"/>
      <c r="N53" s="72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</row>
    <row r="54" spans="1:26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72"/>
      <c r="L54" s="72"/>
      <c r="M54" s="72"/>
      <c r="N54" s="72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</row>
    <row r="55" spans="1:26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72"/>
      <c r="L55" s="72"/>
      <c r="M55" s="72"/>
      <c r="N55" s="72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</row>
    <row r="56" spans="1:26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72"/>
      <c r="L56" s="72"/>
      <c r="M56" s="72"/>
      <c r="N56" s="7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</row>
    <row r="57" spans="1:26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72"/>
      <c r="L57" s="72"/>
      <c r="M57" s="72"/>
      <c r="N57" s="7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</row>
    <row r="58" spans="1:26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72"/>
      <c r="L58" s="72"/>
      <c r="M58" s="72"/>
      <c r="N58" s="72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</row>
    <row r="59" spans="1:26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72"/>
      <c r="L59" s="72"/>
      <c r="M59" s="72"/>
      <c r="N59" s="72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</row>
    <row r="60" spans="1:26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</row>
    <row r="61" spans="1:26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</row>
    <row r="62" spans="1:26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</row>
    <row r="63" spans="1:26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72"/>
      <c r="X63" s="72"/>
      <c r="Y63" s="72"/>
      <c r="Z63" s="72"/>
    </row>
    <row r="64" spans="1:26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72"/>
      <c r="L64" s="72"/>
      <c r="M64" s="72"/>
      <c r="N64" s="72"/>
      <c r="O64" s="72"/>
      <c r="P64" s="72"/>
      <c r="Q64" s="72"/>
      <c r="R64" s="72"/>
      <c r="S64" s="72"/>
      <c r="T64" s="72"/>
      <c r="U64" s="72"/>
      <c r="V64" s="72"/>
      <c r="W64" s="72"/>
      <c r="X64" s="72"/>
      <c r="Y64" s="72"/>
      <c r="Z64" s="72"/>
    </row>
    <row r="65" spans="1:26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W65" s="72"/>
      <c r="X65" s="72"/>
      <c r="Y65" s="72"/>
      <c r="Z65" s="72"/>
    </row>
    <row r="66" spans="1:26" ht="15.75" customHeight="1">
      <c r="A66" s="72"/>
      <c r="B66" s="72"/>
      <c r="C66" s="72"/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W66" s="72"/>
      <c r="X66" s="72"/>
      <c r="Y66" s="72"/>
      <c r="Z66" s="72"/>
    </row>
    <row r="67" spans="1:26" ht="15.75" customHeight="1">
      <c r="A67" s="72"/>
      <c r="B67" s="72"/>
      <c r="C67" s="72"/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W67" s="72"/>
      <c r="X67" s="72"/>
      <c r="Y67" s="72"/>
      <c r="Z67" s="72"/>
    </row>
    <row r="68" spans="1:26" ht="15.75" customHeight="1">
      <c r="A68" s="72"/>
      <c r="B68" s="72"/>
      <c r="C68" s="72"/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W68" s="72"/>
      <c r="X68" s="72"/>
      <c r="Y68" s="72"/>
      <c r="Z68" s="72"/>
    </row>
    <row r="69" spans="1:26" ht="15.75" customHeight="1">
      <c r="A69" s="72"/>
      <c r="B69" s="72"/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</row>
    <row r="70" spans="1:26" ht="15.75" customHeight="1">
      <c r="A70" s="72"/>
      <c r="B70" s="72"/>
      <c r="C70" s="72"/>
      <c r="D70" s="72"/>
      <c r="E70" s="72"/>
      <c r="F70" s="72"/>
      <c r="G70" s="72"/>
      <c r="H70" s="72"/>
      <c r="I70" s="72"/>
      <c r="J70" s="72"/>
      <c r="K70" s="72"/>
      <c r="L70" s="72"/>
      <c r="M70" s="72"/>
      <c r="N70" s="72"/>
      <c r="O70" s="72"/>
      <c r="P70" s="72"/>
      <c r="Q70" s="72"/>
      <c r="R70" s="72"/>
      <c r="S70" s="72"/>
      <c r="T70" s="72"/>
      <c r="U70" s="72"/>
      <c r="V70" s="72"/>
      <c r="W70" s="72"/>
      <c r="X70" s="72"/>
      <c r="Y70" s="72"/>
      <c r="Z70" s="72"/>
    </row>
    <row r="71" spans="1:26" ht="15.75" customHeight="1">
      <c r="A71" s="72"/>
      <c r="B71" s="72"/>
      <c r="C71" s="72"/>
      <c r="D71" s="72"/>
      <c r="E71" s="72"/>
      <c r="F71" s="72"/>
      <c r="G71" s="72"/>
      <c r="H71" s="72"/>
      <c r="I71" s="72"/>
      <c r="J71" s="72"/>
      <c r="K71" s="72"/>
      <c r="L71" s="72"/>
      <c r="M71" s="72"/>
      <c r="N71" s="72"/>
      <c r="O71" s="72"/>
      <c r="P71" s="72"/>
      <c r="Q71" s="72"/>
      <c r="R71" s="72"/>
      <c r="S71" s="72"/>
      <c r="T71" s="72"/>
      <c r="U71" s="72"/>
      <c r="V71" s="72"/>
      <c r="W71" s="72"/>
      <c r="X71" s="72"/>
      <c r="Y71" s="72"/>
      <c r="Z71" s="72"/>
    </row>
    <row r="72" spans="1:26" ht="15.75" customHeight="1">
      <c r="A72" s="72"/>
      <c r="B72" s="72"/>
      <c r="C72" s="72"/>
      <c r="D72" s="72"/>
      <c r="E72" s="72"/>
      <c r="F72" s="72"/>
      <c r="G72" s="72"/>
      <c r="H72" s="72"/>
      <c r="I72" s="72"/>
      <c r="J72" s="72"/>
      <c r="K72" s="72"/>
      <c r="L72" s="72"/>
      <c r="M72" s="72"/>
      <c r="N72" s="72"/>
      <c r="O72" s="72"/>
      <c r="P72" s="72"/>
      <c r="Q72" s="72"/>
      <c r="R72" s="72"/>
      <c r="S72" s="72"/>
      <c r="T72" s="72"/>
      <c r="U72" s="72"/>
      <c r="V72" s="72"/>
      <c r="W72" s="72"/>
      <c r="X72" s="72"/>
      <c r="Y72" s="72"/>
      <c r="Z72" s="72"/>
    </row>
    <row r="73" spans="1:26" ht="15.75" customHeight="1">
      <c r="A73" s="72"/>
      <c r="B73" s="72"/>
      <c r="C73" s="72"/>
      <c r="D73" s="72"/>
      <c r="E73" s="72"/>
      <c r="F73" s="72"/>
      <c r="G73" s="72"/>
      <c r="H73" s="72"/>
      <c r="I73" s="72"/>
      <c r="J73" s="72"/>
      <c r="K73" s="72"/>
      <c r="L73" s="72"/>
      <c r="M73" s="72"/>
      <c r="N73" s="72"/>
      <c r="O73" s="72"/>
      <c r="P73" s="72"/>
      <c r="Q73" s="72"/>
      <c r="R73" s="72"/>
      <c r="S73" s="72"/>
      <c r="T73" s="72"/>
      <c r="U73" s="72"/>
      <c r="V73" s="72"/>
      <c r="W73" s="72"/>
      <c r="X73" s="72"/>
      <c r="Y73" s="72"/>
      <c r="Z73" s="72"/>
    </row>
    <row r="74" spans="1:26" ht="15.75" customHeight="1">
      <c r="A74" s="72"/>
      <c r="B74" s="72"/>
      <c r="C74" s="72"/>
      <c r="D74" s="72"/>
      <c r="E74" s="72"/>
      <c r="F74" s="72"/>
      <c r="G74" s="72"/>
      <c r="H74" s="72"/>
      <c r="I74" s="72"/>
      <c r="J74" s="72"/>
      <c r="K74" s="72"/>
      <c r="L74" s="72"/>
      <c r="M74" s="72"/>
      <c r="N74" s="72"/>
      <c r="O74" s="72"/>
      <c r="P74" s="72"/>
      <c r="Q74" s="72"/>
      <c r="R74" s="72"/>
      <c r="S74" s="72"/>
      <c r="T74" s="72"/>
      <c r="U74" s="72"/>
      <c r="V74" s="72"/>
      <c r="W74" s="72"/>
      <c r="X74" s="72"/>
      <c r="Y74" s="72"/>
      <c r="Z74" s="72"/>
    </row>
    <row r="75" spans="1:26" ht="15.75" customHeight="1">
      <c r="A75" s="72"/>
      <c r="B75" s="72"/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</row>
    <row r="76" spans="1:26" ht="15.75" customHeight="1">
      <c r="A76" s="72"/>
      <c r="B76" s="72"/>
      <c r="C76" s="72"/>
      <c r="D76" s="72"/>
      <c r="E76" s="72"/>
      <c r="F76" s="72"/>
      <c r="G76" s="72"/>
      <c r="H76" s="72"/>
      <c r="I76" s="72"/>
      <c r="J76" s="72"/>
      <c r="K76" s="72"/>
      <c r="L76" s="72"/>
      <c r="M76" s="72"/>
      <c r="N76" s="72"/>
      <c r="O76" s="72"/>
      <c r="P76" s="72"/>
      <c r="Q76" s="72"/>
      <c r="R76" s="72"/>
      <c r="S76" s="72"/>
      <c r="T76" s="72"/>
      <c r="U76" s="72"/>
      <c r="V76" s="72"/>
      <c r="W76" s="72"/>
      <c r="X76" s="72"/>
      <c r="Y76" s="72"/>
      <c r="Z76" s="72"/>
    </row>
    <row r="77" spans="1:26" ht="15.75" customHeight="1">
      <c r="A77" s="72"/>
      <c r="B77" s="72"/>
      <c r="C77" s="72"/>
      <c r="D77" s="72"/>
      <c r="E77" s="72"/>
      <c r="F77" s="72"/>
      <c r="G77" s="72"/>
      <c r="H77" s="72"/>
      <c r="I77" s="72"/>
      <c r="J77" s="72"/>
      <c r="K77" s="72"/>
      <c r="L77" s="72"/>
      <c r="M77" s="72"/>
      <c r="N77" s="72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</row>
    <row r="78" spans="1:26" ht="15.75" customHeight="1">
      <c r="A78" s="72"/>
      <c r="B78" s="72"/>
      <c r="C78" s="72"/>
      <c r="D78" s="72"/>
      <c r="E78" s="72"/>
      <c r="F78" s="72"/>
      <c r="G78" s="72"/>
      <c r="H78" s="72"/>
      <c r="I78" s="72"/>
      <c r="J78" s="72"/>
      <c r="K78" s="72"/>
      <c r="L78" s="72"/>
      <c r="M78" s="72"/>
      <c r="N78" s="72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</row>
    <row r="79" spans="1:26" ht="15.75" customHeight="1">
      <c r="A79" s="72"/>
      <c r="B79" s="72"/>
      <c r="C79" s="72"/>
      <c r="D79" s="72"/>
      <c r="E79" s="72"/>
      <c r="F79" s="72"/>
      <c r="G79" s="72"/>
      <c r="H79" s="72"/>
      <c r="I79" s="72"/>
      <c r="J79" s="72"/>
      <c r="K79" s="72"/>
      <c r="L79" s="72"/>
      <c r="M79" s="72"/>
      <c r="N79" s="72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</row>
    <row r="80" spans="1:26" ht="15.75" customHeight="1">
      <c r="A80" s="72"/>
      <c r="B80" s="72"/>
      <c r="C80" s="72"/>
      <c r="D80" s="72"/>
      <c r="E80" s="72"/>
      <c r="F80" s="72"/>
      <c r="G80" s="72"/>
      <c r="H80" s="72"/>
      <c r="I80" s="72"/>
      <c r="J80" s="72"/>
      <c r="K80" s="72"/>
      <c r="L80" s="72"/>
      <c r="M80" s="72"/>
      <c r="N80" s="72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</row>
    <row r="81" spans="1:26" ht="15.75" customHeight="1">
      <c r="A81" s="72"/>
      <c r="B81" s="72"/>
      <c r="C81" s="72"/>
      <c r="D81" s="72"/>
      <c r="E81" s="72"/>
      <c r="F81" s="72"/>
      <c r="G81" s="72"/>
      <c r="H81" s="72"/>
      <c r="I81" s="72"/>
      <c r="J81" s="72"/>
      <c r="K81" s="72"/>
      <c r="L81" s="72"/>
      <c r="M81" s="72"/>
      <c r="N81" s="72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</row>
    <row r="82" spans="1:26" ht="15.75" customHeight="1">
      <c r="A82" s="72"/>
      <c r="B82" s="72"/>
      <c r="C82" s="72"/>
      <c r="D82" s="72"/>
      <c r="E82" s="72"/>
      <c r="F82" s="72"/>
      <c r="G82" s="72"/>
      <c r="H82" s="72"/>
      <c r="I82" s="72"/>
      <c r="J82" s="72"/>
      <c r="K82" s="72"/>
      <c r="L82" s="72"/>
      <c r="M82" s="72"/>
      <c r="N82" s="72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</row>
    <row r="83" spans="1:26" ht="15.75" customHeight="1">
      <c r="A83" s="72"/>
      <c r="B83" s="72"/>
      <c r="C83" s="72"/>
      <c r="D83" s="72"/>
      <c r="E83" s="72"/>
      <c r="F83" s="72"/>
      <c r="G83" s="72"/>
      <c r="H83" s="72"/>
      <c r="I83" s="72"/>
      <c r="J83" s="72"/>
      <c r="K83" s="72"/>
      <c r="L83" s="72"/>
      <c r="M83" s="72"/>
      <c r="N83" s="72"/>
      <c r="O83" s="72"/>
      <c r="P83" s="72"/>
      <c r="Q83" s="72"/>
      <c r="R83" s="72"/>
      <c r="S83" s="72"/>
      <c r="T83" s="72"/>
      <c r="U83" s="72"/>
      <c r="V83" s="72"/>
      <c r="W83" s="72"/>
      <c r="X83" s="72"/>
      <c r="Y83" s="72"/>
      <c r="Z83" s="72"/>
    </row>
    <row r="84" spans="1:26" ht="15.75" customHeight="1">
      <c r="A84" s="72"/>
      <c r="B84" s="72"/>
      <c r="C84" s="72"/>
      <c r="D84" s="72"/>
      <c r="E84" s="72"/>
      <c r="F84" s="72"/>
      <c r="G84" s="72"/>
      <c r="H84" s="72"/>
      <c r="I84" s="72"/>
      <c r="J84" s="72"/>
      <c r="K84" s="72"/>
      <c r="L84" s="72"/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</row>
    <row r="85" spans="1:26" ht="15.75" customHeight="1">
      <c r="A85" s="72"/>
      <c r="B85" s="72"/>
      <c r="C85" s="72"/>
      <c r="D85" s="72"/>
      <c r="E85" s="72"/>
      <c r="F85" s="72"/>
      <c r="G85" s="72"/>
      <c r="H85" s="72"/>
      <c r="I85" s="72"/>
      <c r="J85" s="72"/>
      <c r="K85" s="72"/>
      <c r="L85" s="72"/>
      <c r="M85" s="72"/>
      <c r="N85" s="72"/>
      <c r="O85" s="72"/>
      <c r="P85" s="72"/>
      <c r="Q85" s="72"/>
      <c r="R85" s="72"/>
      <c r="S85" s="72"/>
      <c r="T85" s="72"/>
      <c r="U85" s="72"/>
      <c r="V85" s="72"/>
      <c r="W85" s="72"/>
      <c r="X85" s="72"/>
      <c r="Y85" s="72"/>
      <c r="Z85" s="72"/>
    </row>
    <row r="86" spans="1:26" ht="15.75" customHeight="1">
      <c r="A86" s="72"/>
      <c r="B86" s="72"/>
      <c r="C86" s="72"/>
      <c r="D86" s="72"/>
      <c r="E86" s="72"/>
      <c r="F86" s="72"/>
      <c r="G86" s="72"/>
      <c r="H86" s="72"/>
      <c r="I86" s="72"/>
      <c r="J86" s="72"/>
      <c r="K86" s="72"/>
      <c r="L86" s="72"/>
      <c r="M86" s="72"/>
      <c r="N86" s="72"/>
      <c r="O86" s="72"/>
      <c r="P86" s="72"/>
      <c r="Q86" s="72"/>
      <c r="R86" s="72"/>
      <c r="S86" s="72"/>
      <c r="T86" s="72"/>
      <c r="U86" s="72"/>
      <c r="V86" s="72"/>
      <c r="W86" s="72"/>
      <c r="X86" s="72"/>
      <c r="Y86" s="72"/>
      <c r="Z86" s="72"/>
    </row>
    <row r="87" spans="1:26" ht="15.75" customHeight="1">
      <c r="A87" s="72"/>
      <c r="B87" s="72"/>
      <c r="C87" s="72"/>
      <c r="D87" s="72"/>
      <c r="E87" s="72"/>
      <c r="F87" s="72"/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2"/>
      <c r="W87" s="72"/>
      <c r="X87" s="72"/>
      <c r="Y87" s="72"/>
      <c r="Z87" s="72"/>
    </row>
    <row r="88" spans="1:26" ht="15.75" customHeight="1">
      <c r="A88" s="72"/>
      <c r="B88" s="72"/>
      <c r="C88" s="72"/>
      <c r="D88" s="72"/>
      <c r="E88" s="72"/>
      <c r="F88" s="72"/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</row>
    <row r="89" spans="1:26" ht="15.75" customHeight="1">
      <c r="A89" s="72"/>
      <c r="B89" s="72"/>
      <c r="C89" s="72"/>
      <c r="D89" s="72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</row>
    <row r="90" spans="1:26" ht="15.75" customHeight="1">
      <c r="A90" s="72"/>
      <c r="B90" s="72"/>
      <c r="C90" s="72"/>
      <c r="D90" s="72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</row>
    <row r="91" spans="1:26" ht="15.75" customHeight="1">
      <c r="A91" s="72"/>
      <c r="B91" s="72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</row>
    <row r="92" spans="1:26" ht="15.75" customHeight="1">
      <c r="A92" s="72"/>
      <c r="B92" s="72"/>
      <c r="C92" s="72"/>
      <c r="D92" s="72"/>
      <c r="E92" s="72"/>
      <c r="F92" s="72"/>
      <c r="G92" s="72"/>
      <c r="H92" s="72"/>
      <c r="I92" s="72"/>
      <c r="J92" s="72"/>
      <c r="K92" s="72"/>
      <c r="L92" s="72"/>
      <c r="M92" s="72"/>
      <c r="N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</row>
    <row r="93" spans="1:26" ht="15.75" customHeight="1">
      <c r="A93" s="72"/>
      <c r="B93" s="72"/>
      <c r="C93" s="72"/>
      <c r="D93" s="72"/>
      <c r="E93" s="72"/>
      <c r="F93" s="72"/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</row>
    <row r="94" spans="1:26" ht="15.75" customHeight="1">
      <c r="A94" s="72"/>
      <c r="B94" s="72"/>
      <c r="C94" s="72"/>
      <c r="D94" s="72"/>
      <c r="E94" s="72"/>
      <c r="F94" s="72"/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  <c r="Z94" s="72"/>
    </row>
    <row r="95" spans="1:26" ht="15.75" customHeight="1">
      <c r="A95" s="72"/>
      <c r="B95" s="72"/>
      <c r="C95" s="72"/>
      <c r="D95" s="72"/>
      <c r="E95" s="72"/>
      <c r="F95" s="72"/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  <c r="Z95" s="72"/>
    </row>
    <row r="96" spans="1:26" ht="15.75" customHeight="1">
      <c r="A96" s="72"/>
      <c r="B96" s="72"/>
      <c r="C96" s="72"/>
      <c r="D96" s="72"/>
      <c r="E96" s="72"/>
      <c r="F96" s="72"/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  <c r="Z96" s="72"/>
    </row>
    <row r="97" spans="1:26" ht="15.75" customHeight="1">
      <c r="A97" s="72"/>
      <c r="B97" s="72"/>
      <c r="C97" s="72"/>
      <c r="D97" s="72"/>
      <c r="E97" s="72"/>
      <c r="F97" s="72"/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  <c r="Z97" s="72"/>
    </row>
    <row r="98" spans="1:26" ht="15.75" customHeight="1">
      <c r="A98" s="72"/>
      <c r="B98" s="72"/>
      <c r="C98" s="72"/>
      <c r="D98" s="72"/>
      <c r="E98" s="72"/>
      <c r="F98" s="72"/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  <c r="Z98" s="72"/>
    </row>
    <row r="99" spans="1:26" ht="15.75" customHeight="1">
      <c r="A99" s="72"/>
      <c r="B99" s="72"/>
      <c r="C99" s="72"/>
      <c r="D99" s="72"/>
      <c r="E99" s="72"/>
      <c r="F99" s="72"/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  <c r="Z99" s="72"/>
    </row>
    <row r="100" spans="1:26" ht="15.75" customHeight="1">
      <c r="A100" s="72"/>
      <c r="B100" s="72"/>
      <c r="C100" s="72"/>
      <c r="D100" s="72"/>
      <c r="E100" s="72"/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  <c r="Z100" s="72"/>
    </row>
    <row r="101" spans="1:26" ht="15.75" customHeight="1">
      <c r="A101" s="72"/>
      <c r="B101" s="72"/>
      <c r="C101" s="72"/>
      <c r="D101" s="72"/>
      <c r="E101" s="72"/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  <c r="Z101" s="72"/>
    </row>
    <row r="102" spans="1:26" ht="15.75" customHeight="1">
      <c r="A102" s="72"/>
      <c r="B102" s="72"/>
      <c r="C102" s="72"/>
      <c r="D102" s="72"/>
      <c r="E102" s="72"/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  <c r="Z102" s="72"/>
    </row>
    <row r="103" spans="1:26" ht="15.75" customHeight="1">
      <c r="A103" s="72"/>
      <c r="B103" s="72"/>
      <c r="C103" s="72"/>
      <c r="D103" s="72"/>
      <c r="E103" s="72"/>
      <c r="F103" s="72"/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  <c r="Z103" s="72"/>
    </row>
    <row r="104" spans="1:26" ht="15.75" customHeight="1">
      <c r="A104" s="72"/>
      <c r="B104" s="72"/>
      <c r="C104" s="72"/>
      <c r="D104" s="72"/>
      <c r="E104" s="72"/>
      <c r="F104" s="72"/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  <c r="Z104" s="72"/>
    </row>
    <row r="105" spans="1:26" ht="15.75" customHeight="1">
      <c r="A105" s="72"/>
      <c r="B105" s="72"/>
      <c r="C105" s="72"/>
      <c r="D105" s="72"/>
      <c r="E105" s="72"/>
      <c r="F105" s="72"/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  <c r="Z105" s="72"/>
    </row>
    <row r="106" spans="1:26" ht="15.75" customHeight="1">
      <c r="A106" s="72"/>
      <c r="B106" s="72"/>
      <c r="C106" s="72"/>
      <c r="D106" s="72"/>
      <c r="E106" s="72"/>
      <c r="F106" s="72"/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  <c r="Z106" s="72"/>
    </row>
    <row r="107" spans="1:26" ht="15.75" customHeight="1">
      <c r="A107" s="72"/>
      <c r="B107" s="72"/>
      <c r="C107" s="72"/>
      <c r="D107" s="72"/>
      <c r="E107" s="72"/>
      <c r="F107" s="72"/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  <c r="Z107" s="72"/>
    </row>
    <row r="108" spans="1:26" ht="15.75" customHeight="1">
      <c r="A108" s="72"/>
      <c r="B108" s="72"/>
      <c r="C108" s="72"/>
      <c r="D108" s="72"/>
      <c r="E108" s="72"/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  <c r="Z108" s="72"/>
    </row>
    <row r="109" spans="1:26" ht="15.75" customHeight="1">
      <c r="A109" s="72"/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  <c r="Z109" s="72"/>
    </row>
    <row r="110" spans="1:26" ht="15.75" customHeight="1">
      <c r="A110" s="72"/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</row>
    <row r="111" spans="1:26" ht="15.75" customHeight="1">
      <c r="A111" s="72"/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</row>
    <row r="112" spans="1:26" ht="15.75" customHeight="1">
      <c r="A112" s="72"/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</row>
    <row r="113" spans="1:26" ht="15.75" customHeight="1">
      <c r="A113" s="72"/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</row>
    <row r="114" spans="1:26" ht="15.75" customHeight="1">
      <c r="A114" s="72"/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</row>
    <row r="115" spans="1:26" ht="15.75" customHeight="1">
      <c r="A115" s="72"/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</row>
    <row r="116" spans="1:26" ht="15.75" customHeight="1">
      <c r="A116" s="72"/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</row>
    <row r="117" spans="1:26" ht="15.75" customHeight="1">
      <c r="A117" s="72"/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</row>
    <row r="118" spans="1:26" ht="15.75" customHeight="1">
      <c r="A118" s="72"/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</row>
    <row r="119" spans="1:26" ht="15.75" customHeight="1">
      <c r="A119" s="72"/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</row>
    <row r="120" spans="1:26" ht="15.75" customHeight="1">
      <c r="A120" s="72"/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</row>
    <row r="121" spans="1:26" ht="15.75" customHeight="1">
      <c r="A121" s="72"/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</row>
    <row r="122" spans="1:26" ht="15.75" customHeight="1">
      <c r="A122" s="72"/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</row>
    <row r="123" spans="1:26" ht="15.75" customHeight="1">
      <c r="A123" s="72"/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</row>
    <row r="124" spans="1:26" ht="15.75" customHeight="1">
      <c r="A124" s="72"/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 spans="1:26" ht="15.75" customHeight="1">
      <c r="A125" s="72"/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</row>
    <row r="126" spans="1:26" ht="15.75" customHeight="1">
      <c r="A126" s="72"/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</row>
    <row r="127" spans="1:26" ht="15.75" customHeight="1">
      <c r="A127" s="72"/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</row>
    <row r="128" spans="1:26" ht="15.75" customHeight="1">
      <c r="A128" s="72"/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</row>
    <row r="129" spans="1:26" ht="15.75" customHeight="1">
      <c r="A129" s="72"/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</row>
    <row r="130" spans="1:26" ht="15.75" customHeight="1">
      <c r="A130" s="72"/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</row>
    <row r="131" spans="1:26" ht="15.75" customHeight="1">
      <c r="A131" s="72"/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</row>
    <row r="132" spans="1:26" ht="15.75" customHeight="1">
      <c r="A132" s="72"/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</row>
    <row r="133" spans="1:26" ht="15.75" customHeight="1">
      <c r="A133" s="72"/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</row>
    <row r="134" spans="1:26" ht="15.75" customHeight="1">
      <c r="A134" s="72"/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</row>
    <row r="135" spans="1:26" ht="15.75" customHeight="1">
      <c r="A135" s="72"/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</row>
    <row r="136" spans="1:26" ht="15.75" customHeight="1">
      <c r="A136" s="72"/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  <c r="Z136" s="72"/>
    </row>
    <row r="137" spans="1:26" ht="15.75" customHeight="1">
      <c r="A137" s="72"/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  <c r="Z137" s="72"/>
    </row>
    <row r="138" spans="1:26" ht="15.75" customHeight="1">
      <c r="A138" s="72"/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  <c r="Z138" s="72"/>
    </row>
    <row r="139" spans="1:26" ht="15.75" customHeight="1">
      <c r="A139" s="72"/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  <c r="Z139" s="72"/>
    </row>
    <row r="140" spans="1:26" ht="15.75" customHeight="1">
      <c r="A140" s="72"/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  <c r="Z140" s="72"/>
    </row>
    <row r="141" spans="1:26" ht="15.75" customHeight="1">
      <c r="A141" s="72"/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  <c r="Z141" s="72"/>
    </row>
    <row r="142" spans="1:26" ht="15.75" customHeight="1">
      <c r="A142" s="72"/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  <c r="Z142" s="72"/>
    </row>
    <row r="143" spans="1:26" ht="15.75" customHeight="1">
      <c r="A143" s="72"/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  <c r="Z143" s="72"/>
    </row>
    <row r="144" spans="1:26" ht="15.75" customHeight="1">
      <c r="A144" s="72"/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  <c r="Z144" s="72"/>
    </row>
    <row r="145" spans="1:26" ht="15.75" customHeight="1">
      <c r="A145" s="72"/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  <c r="Z145" s="72"/>
    </row>
    <row r="146" spans="1:26" ht="15.75" customHeight="1">
      <c r="A146" s="72"/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  <c r="Z146" s="72"/>
    </row>
    <row r="147" spans="1:26" ht="15.75" customHeight="1">
      <c r="A147" s="72"/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  <c r="Z147" s="72"/>
    </row>
    <row r="148" spans="1:26" ht="15.75" customHeight="1">
      <c r="A148" s="72"/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  <c r="Z148" s="72"/>
    </row>
    <row r="149" spans="1:26" ht="15.75" customHeight="1">
      <c r="A149" s="72"/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  <c r="Z149" s="72"/>
    </row>
    <row r="150" spans="1:26" ht="15.75" customHeight="1">
      <c r="A150" s="72"/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  <c r="Z150" s="72"/>
    </row>
    <row r="151" spans="1:26" ht="15.75" customHeight="1">
      <c r="A151" s="72"/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  <c r="Z151" s="72"/>
    </row>
    <row r="152" spans="1:26" ht="15.75" customHeight="1">
      <c r="A152" s="72"/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  <c r="Z152" s="72"/>
    </row>
    <row r="153" spans="1:26" ht="15.75" customHeight="1">
      <c r="A153" s="72"/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  <c r="Z153" s="72"/>
    </row>
    <row r="154" spans="1:26" ht="15.75" customHeight="1">
      <c r="A154" s="72"/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  <c r="Z154" s="72"/>
    </row>
    <row r="155" spans="1:26" ht="15.75" customHeight="1">
      <c r="A155" s="72"/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  <c r="Z155" s="72"/>
    </row>
    <row r="156" spans="1:26" ht="15.75" customHeight="1">
      <c r="A156" s="72"/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  <c r="Z156" s="72"/>
    </row>
    <row r="157" spans="1:26" ht="15.75" customHeight="1">
      <c r="A157" s="72"/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  <c r="Z157" s="72"/>
    </row>
    <row r="158" spans="1:26" ht="15.75" customHeight="1">
      <c r="A158" s="72"/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  <c r="Z158" s="72"/>
    </row>
    <row r="159" spans="1:26" ht="15.75" customHeight="1">
      <c r="A159" s="72"/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  <c r="Z159" s="72"/>
    </row>
    <row r="160" spans="1:26" ht="15.75" customHeight="1">
      <c r="A160" s="72"/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  <c r="Z160" s="72"/>
    </row>
    <row r="161" spans="1:26" ht="15.75" customHeight="1">
      <c r="A161" s="72"/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  <c r="Z161" s="72"/>
    </row>
    <row r="162" spans="1:26" ht="15.75" customHeight="1">
      <c r="A162" s="72"/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  <c r="Z162" s="72"/>
    </row>
    <row r="163" spans="1:26" ht="15.75" customHeight="1">
      <c r="A163" s="72"/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</row>
    <row r="164" spans="1:26" ht="15.75" customHeight="1">
      <c r="A164" s="72"/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</row>
    <row r="165" spans="1:26" ht="15.75" customHeight="1">
      <c r="A165" s="72"/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</row>
    <row r="166" spans="1:26" ht="15.75" customHeight="1">
      <c r="A166" s="72"/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</row>
    <row r="167" spans="1:26" ht="15.75" customHeight="1">
      <c r="A167" s="72"/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</row>
    <row r="168" spans="1:26" ht="15.75" customHeight="1">
      <c r="A168" s="72"/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  <c r="Z168" s="72"/>
    </row>
    <row r="169" spans="1:26" ht="15.75" customHeight="1">
      <c r="A169" s="72"/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  <c r="Z169" s="72"/>
    </row>
    <row r="170" spans="1:26" ht="15.75" customHeight="1">
      <c r="A170" s="72"/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  <c r="Z170" s="72"/>
    </row>
    <row r="171" spans="1:26" ht="15.75" customHeight="1">
      <c r="A171" s="72"/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  <c r="Z171" s="72"/>
    </row>
    <row r="172" spans="1:26" ht="15.75" customHeight="1">
      <c r="A172" s="72"/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</row>
    <row r="173" spans="1:26" ht="15.75" customHeight="1">
      <c r="A173" s="72"/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</row>
    <row r="174" spans="1:26" ht="15.75" customHeight="1">
      <c r="A174" s="72"/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</row>
    <row r="175" spans="1:26" ht="15.75" customHeight="1">
      <c r="A175" s="72"/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</row>
    <row r="176" spans="1:26" ht="15.75" customHeight="1">
      <c r="A176" s="72"/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</row>
    <row r="177" spans="1:26" ht="15.75" customHeight="1">
      <c r="A177" s="72"/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</row>
    <row r="178" spans="1:26" ht="15.75" customHeight="1">
      <c r="A178" s="72"/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</row>
    <row r="179" spans="1:26" ht="15.75" customHeight="1">
      <c r="A179" s="72"/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</row>
    <row r="180" spans="1:26" ht="15.75" customHeight="1">
      <c r="A180" s="72"/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</row>
    <row r="181" spans="1:26" ht="15.75" customHeight="1">
      <c r="A181" s="72"/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</row>
    <row r="182" spans="1:26" ht="15.75" customHeight="1">
      <c r="A182" s="72"/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</row>
    <row r="183" spans="1:26" ht="15.75" customHeight="1">
      <c r="A183" s="72"/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</row>
    <row r="184" spans="1:26" ht="15.75" customHeight="1">
      <c r="A184" s="72"/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</row>
    <row r="185" spans="1:26" ht="15.75" customHeight="1">
      <c r="A185" s="72"/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</row>
    <row r="186" spans="1:26" ht="15.75" customHeight="1">
      <c r="A186" s="72"/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</row>
    <row r="187" spans="1:26" ht="15.75" customHeight="1">
      <c r="A187" s="72"/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</row>
    <row r="188" spans="1:26" ht="15.75" customHeight="1">
      <c r="A188" s="72"/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</row>
    <row r="189" spans="1:26" ht="15.75" customHeight="1">
      <c r="A189" s="72"/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</row>
    <row r="190" spans="1:26" ht="15.75" customHeight="1">
      <c r="A190" s="72"/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</row>
    <row r="191" spans="1:26" ht="15.75" customHeight="1">
      <c r="A191" s="72"/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</row>
    <row r="192" spans="1:26" ht="15.75" customHeight="1">
      <c r="A192" s="72"/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</row>
    <row r="193" spans="1:26" ht="15.75" customHeight="1">
      <c r="A193" s="72"/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</row>
    <row r="194" spans="1:26" ht="15.75" customHeight="1">
      <c r="A194" s="72"/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</row>
    <row r="195" spans="1:26" ht="15.75" customHeight="1">
      <c r="A195" s="72"/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</row>
    <row r="196" spans="1:26" ht="15.75" customHeight="1">
      <c r="A196" s="72"/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</row>
    <row r="197" spans="1:26" ht="15.75" customHeight="1">
      <c r="A197" s="72"/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</row>
    <row r="198" spans="1:26" ht="15.75" customHeight="1">
      <c r="A198" s="72"/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</row>
    <row r="199" spans="1:26" ht="15.75" customHeight="1">
      <c r="A199" s="72"/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</row>
    <row r="200" spans="1:26" ht="15.75" customHeight="1">
      <c r="A200" s="72"/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</row>
    <row r="201" spans="1:26" ht="15.75" customHeight="1">
      <c r="A201" s="72"/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</row>
    <row r="202" spans="1:26" ht="15.75" customHeight="1">
      <c r="A202" s="72"/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</row>
    <row r="203" spans="1:26" ht="15.75" customHeight="1">
      <c r="A203" s="72"/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</row>
    <row r="204" spans="1:26" ht="15.75" customHeight="1">
      <c r="A204" s="72"/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</row>
    <row r="205" spans="1:26" ht="15.75" customHeight="1">
      <c r="A205" s="72"/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</row>
    <row r="206" spans="1:26" ht="15.75" customHeight="1">
      <c r="A206" s="72"/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</row>
    <row r="207" spans="1:26" ht="15.75" customHeight="1">
      <c r="A207" s="72"/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</row>
    <row r="208" spans="1:26" ht="15.75" customHeight="1">
      <c r="A208" s="72"/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</row>
    <row r="209" spans="1:26" ht="15.75" customHeight="1">
      <c r="A209" s="72"/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</row>
    <row r="210" spans="1:26" ht="15.75" customHeight="1">
      <c r="A210" s="72"/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</row>
    <row r="211" spans="1:26" ht="15.75" customHeight="1">
      <c r="A211" s="72"/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</row>
    <row r="212" spans="1:26" ht="15.75" customHeight="1">
      <c r="A212" s="72"/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  <c r="Z212" s="72"/>
    </row>
    <row r="213" spans="1:26" ht="15.75" customHeight="1">
      <c r="A213" s="72"/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  <c r="Z213" s="72"/>
    </row>
    <row r="214" spans="1:26" ht="15.75" customHeight="1">
      <c r="A214" s="72"/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  <c r="Z214" s="72"/>
    </row>
    <row r="215" spans="1:26" ht="15.75" customHeight="1">
      <c r="A215" s="72"/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 spans="1:26" ht="15.75" customHeight="1">
      <c r="A216" s="72"/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  <c r="Z216" s="72"/>
    </row>
    <row r="217" spans="1:26" ht="15.75" customHeight="1">
      <c r="A217" s="72"/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  <c r="Z217" s="72"/>
    </row>
    <row r="218" spans="1:26" ht="15.75" customHeight="1">
      <c r="A218" s="72"/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  <c r="Z218" s="72"/>
    </row>
    <row r="219" spans="1:26" ht="15.75" customHeight="1">
      <c r="A219" s="72"/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  <c r="Z219" s="72"/>
    </row>
    <row r="220" spans="1:26" ht="15.75" customHeight="1">
      <c r="A220" s="72"/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  <c r="Z220" s="72"/>
    </row>
    <row r="221" spans="1:26" ht="15.75" customHeight="1">
      <c r="A221" s="72"/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  <c r="Z221" s="72"/>
    </row>
    <row r="222" spans="1:26" ht="15.75" customHeight="1">
      <c r="A222" s="72"/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  <c r="Z222" s="72"/>
    </row>
    <row r="223" spans="1:26" ht="15.75" customHeight="1">
      <c r="A223" s="72"/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  <c r="Z223" s="72"/>
    </row>
    <row r="224" spans="1:26" ht="15.75" customHeight="1">
      <c r="A224" s="72"/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  <c r="Z224" s="72"/>
    </row>
    <row r="225" spans="1:26" ht="15.75" customHeight="1">
      <c r="A225" s="72"/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  <c r="Z225" s="72"/>
    </row>
    <row r="226" spans="1:26" ht="15.75" customHeight="1">
      <c r="A226" s="72"/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  <c r="Z226" s="72"/>
    </row>
    <row r="227" spans="1:26" ht="15.75" customHeight="1">
      <c r="A227" s="72"/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</row>
    <row r="228" spans="1:26" ht="15.75" customHeight="1">
      <c r="A228" s="72"/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</row>
    <row r="229" spans="1:26" ht="15.75" customHeight="1">
      <c r="A229" s="72"/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</row>
    <row r="230" spans="1:26" ht="15.75" customHeight="1">
      <c r="A230" s="72"/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</row>
    <row r="231" spans="1:26" ht="15.75" customHeight="1">
      <c r="A231" s="72"/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</row>
    <row r="232" spans="1:26" ht="15.75" customHeight="1">
      <c r="A232" s="72"/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  <c r="Z232" s="72"/>
    </row>
    <row r="233" spans="1:26" ht="15.75" customHeight="1">
      <c r="A233" s="72"/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  <c r="Z233" s="72"/>
    </row>
    <row r="234" spans="1:26" ht="15.75" customHeight="1">
      <c r="A234" s="72"/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  <c r="Z234" s="72"/>
    </row>
    <row r="235" spans="1:26" ht="15.75" customHeight="1">
      <c r="A235" s="72"/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  <c r="Z235" s="72"/>
    </row>
    <row r="236" spans="1:26" ht="15.75" customHeight="1">
      <c r="A236" s="72"/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  <c r="Z236" s="72"/>
    </row>
    <row r="237" spans="1:26" ht="15.75" customHeight="1">
      <c r="A237" s="72"/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  <c r="Z237" s="72"/>
    </row>
    <row r="238" spans="1:26" ht="15.75" customHeight="1">
      <c r="A238" s="72"/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  <c r="Z238" s="72"/>
    </row>
    <row r="239" spans="1:26" ht="15.75" customHeight="1">
      <c r="A239" s="72"/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  <c r="Z239" s="72"/>
    </row>
    <row r="240" spans="1:26" ht="15.75" customHeight="1">
      <c r="A240" s="72"/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  <c r="Z240" s="72"/>
    </row>
    <row r="241" spans="1:26" ht="15.75" customHeight="1">
      <c r="A241" s="72"/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  <c r="Z241" s="72"/>
    </row>
    <row r="242" spans="1:26" ht="15.75" customHeight="1">
      <c r="A242" s="72"/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  <c r="Z242" s="72"/>
    </row>
    <row r="243" spans="1:26" ht="15.75" customHeight="1">
      <c r="A243" s="72"/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  <c r="Z243" s="72"/>
    </row>
    <row r="244" spans="1:26" ht="15.75" customHeight="1">
      <c r="A244" s="72"/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  <c r="Z244" s="72"/>
    </row>
    <row r="245" spans="1:26" ht="15.75" customHeight="1">
      <c r="A245" s="72"/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  <c r="Z245" s="72"/>
    </row>
    <row r="246" spans="1:26" ht="15.75" customHeight="1">
      <c r="A246" s="72"/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  <c r="Z246" s="72"/>
    </row>
    <row r="247" spans="1:26" ht="15.75" customHeight="1">
      <c r="A247" s="72"/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  <c r="Z247" s="72"/>
    </row>
    <row r="248" spans="1:26" ht="15.75" customHeight="1">
      <c r="A248" s="72"/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  <c r="Z248" s="72"/>
    </row>
    <row r="249" spans="1:26" ht="15.75" customHeight="1">
      <c r="A249" s="72"/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  <c r="Z249" s="72"/>
    </row>
    <row r="250" spans="1:26" ht="15.75" customHeight="1">
      <c r="A250" s="72"/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  <c r="Z250" s="72"/>
    </row>
    <row r="251" spans="1:26" ht="15.75" customHeight="1">
      <c r="A251" s="72"/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  <c r="Z251" s="72"/>
    </row>
    <row r="252" spans="1:26" ht="15.75" customHeight="1">
      <c r="A252" s="72"/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  <c r="Z252" s="72"/>
    </row>
    <row r="253" spans="1:26" ht="15.75" customHeight="1">
      <c r="A253" s="72"/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  <c r="Z253" s="72"/>
    </row>
    <row r="254" spans="1:26" ht="15.75" customHeight="1">
      <c r="A254" s="72"/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  <c r="Z254" s="72"/>
    </row>
    <row r="255" spans="1:26" ht="15.75" customHeight="1">
      <c r="A255" s="72"/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  <c r="Z255" s="72"/>
    </row>
    <row r="256" spans="1:26" ht="15.75" customHeight="1">
      <c r="A256" s="72"/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  <c r="Z256" s="72"/>
    </row>
    <row r="257" spans="1:26" ht="15.75" customHeight="1">
      <c r="A257" s="72"/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  <c r="Z257" s="72"/>
    </row>
    <row r="258" spans="1:26" ht="15.75" customHeight="1">
      <c r="A258" s="72"/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  <c r="Z258" s="72"/>
    </row>
    <row r="259" spans="1:26" ht="15.75" customHeight="1">
      <c r="A259" s="72"/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  <c r="Z259" s="72"/>
    </row>
    <row r="260" spans="1:26" ht="15.75" customHeight="1">
      <c r="A260" s="72"/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  <c r="Z260" s="72"/>
    </row>
    <row r="261" spans="1:26" ht="15.75" customHeight="1">
      <c r="A261" s="72"/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  <c r="Z261" s="72"/>
    </row>
    <row r="262" spans="1:26" ht="15.75" customHeight="1">
      <c r="A262" s="72"/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  <c r="Z262" s="72"/>
    </row>
    <row r="263" spans="1:26" ht="15.75" customHeight="1">
      <c r="A263" s="72"/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  <c r="Z263" s="72"/>
    </row>
    <row r="264" spans="1:26" ht="15.75" customHeight="1">
      <c r="A264" s="72"/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  <c r="Z264" s="72"/>
    </row>
    <row r="265" spans="1:26" ht="15.75" customHeight="1">
      <c r="A265" s="72"/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  <c r="Z265" s="72"/>
    </row>
    <row r="266" spans="1:26" ht="15.75" customHeight="1">
      <c r="A266" s="72"/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</row>
    <row r="267" spans="1:26" ht="15.75" customHeight="1">
      <c r="A267" s="72"/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</row>
    <row r="268" spans="1:26" ht="15.75" customHeight="1">
      <c r="A268" s="72"/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</row>
    <row r="269" spans="1:26" ht="15.75" customHeight="1">
      <c r="A269" s="72"/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  <c r="Z269" s="72"/>
    </row>
    <row r="270" spans="1:26" ht="15.75" customHeight="1">
      <c r="A270" s="72"/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  <c r="Z270" s="72"/>
    </row>
    <row r="271" spans="1:26" ht="15.75" customHeight="1">
      <c r="A271" s="72"/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</row>
    <row r="272" spans="1:26" ht="15.75" customHeight="1">
      <c r="A272" s="72"/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</row>
    <row r="273" spans="1:26" ht="15.75" customHeight="1">
      <c r="A273" s="72"/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</row>
    <row r="274" spans="1:26" ht="15.75" customHeight="1">
      <c r="A274" s="72"/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</row>
    <row r="275" spans="1:26" ht="15.75" customHeight="1">
      <c r="A275" s="72"/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</row>
    <row r="276" spans="1:26" ht="15.75" customHeight="1">
      <c r="A276" s="72"/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</row>
    <row r="277" spans="1:26" ht="15.75" customHeight="1">
      <c r="A277" s="72"/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</row>
    <row r="278" spans="1:26" ht="15.75" customHeight="1">
      <c r="A278" s="72"/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</row>
    <row r="279" spans="1:26" ht="15.75" customHeight="1">
      <c r="A279" s="72"/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</row>
    <row r="280" spans="1:26" ht="15.75" customHeight="1">
      <c r="A280" s="72"/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</row>
    <row r="281" spans="1:26" ht="15.75" customHeight="1">
      <c r="A281" s="72"/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</row>
    <row r="282" spans="1:26" ht="15.75" customHeight="1">
      <c r="A282" s="72"/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</row>
    <row r="283" spans="1:26" ht="15.75" customHeight="1">
      <c r="A283" s="72"/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</row>
    <row r="284" spans="1:26" ht="15.75" customHeight="1">
      <c r="A284" s="72"/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</row>
    <row r="285" spans="1:26" ht="15.75" customHeight="1">
      <c r="A285" s="72"/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</row>
    <row r="286" spans="1:26" ht="15.75" customHeight="1">
      <c r="A286" s="72"/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</row>
    <row r="287" spans="1:26" ht="15.75" customHeight="1">
      <c r="A287" s="72"/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  <c r="Z287" s="72"/>
    </row>
    <row r="288" spans="1:26" ht="15.75" customHeight="1">
      <c r="A288" s="72"/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  <c r="Z288" s="72"/>
    </row>
    <row r="289" spans="1:26" ht="15.75" customHeight="1">
      <c r="A289" s="72"/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  <c r="Z289" s="72"/>
    </row>
    <row r="290" spans="1:26" ht="15.75" customHeight="1">
      <c r="A290" s="72"/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</row>
    <row r="291" spans="1:26" ht="15.75" customHeight="1">
      <c r="A291" s="72"/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</row>
    <row r="292" spans="1:26" ht="15.75" customHeight="1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  <c r="Z292" s="72"/>
    </row>
    <row r="293" spans="1:26" ht="15.75" customHeight="1">
      <c r="A293" s="72"/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  <c r="Z293" s="72"/>
    </row>
    <row r="294" spans="1:26" ht="15.75" customHeight="1">
      <c r="A294" s="72"/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  <c r="Z294" s="72"/>
    </row>
    <row r="295" spans="1:26" ht="15.75" customHeight="1">
      <c r="A295" s="72"/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  <c r="Z295" s="72"/>
    </row>
    <row r="296" spans="1:26" ht="15.75" customHeight="1">
      <c r="A296" s="72"/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  <c r="Z296" s="72"/>
    </row>
    <row r="297" spans="1:26" ht="15.75" customHeight="1">
      <c r="A297" s="72"/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  <c r="Z297" s="72"/>
    </row>
    <row r="298" spans="1:26" ht="15.75" customHeight="1">
      <c r="A298" s="72"/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  <c r="Z298" s="72"/>
    </row>
    <row r="299" spans="1:26" ht="15.75" customHeight="1">
      <c r="A299" s="72"/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  <c r="Z299" s="72"/>
    </row>
    <row r="300" spans="1:26" ht="15.75" customHeight="1">
      <c r="A300" s="72"/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  <c r="Z300" s="72"/>
    </row>
    <row r="301" spans="1:26" ht="15.75" customHeight="1">
      <c r="A301" s="72"/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  <c r="Z301" s="72"/>
    </row>
    <row r="302" spans="1:26" ht="15.75" customHeight="1">
      <c r="A302" s="72"/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  <c r="Z302" s="72"/>
    </row>
    <row r="303" spans="1:26" ht="15.75" customHeight="1">
      <c r="A303" s="72"/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  <c r="Z303" s="72"/>
    </row>
    <row r="304" spans="1:26" ht="15.75" customHeight="1">
      <c r="A304" s="72"/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  <c r="Z304" s="72"/>
    </row>
    <row r="305" spans="1:26" ht="15.75" customHeight="1">
      <c r="A305" s="72"/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  <c r="Z305" s="72"/>
    </row>
    <row r="306" spans="1:26" ht="15.75" customHeight="1">
      <c r="A306" s="72"/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 spans="1:26" ht="15.75" customHeight="1">
      <c r="A307" s="72"/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  <c r="Z307" s="72"/>
    </row>
    <row r="308" spans="1:26" ht="15.75" customHeight="1">
      <c r="A308" s="72"/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  <c r="Z308" s="72"/>
    </row>
    <row r="309" spans="1:26" ht="15.75" customHeight="1">
      <c r="A309" s="72"/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  <c r="Z309" s="72"/>
    </row>
    <row r="310" spans="1:26" ht="15.75" customHeight="1">
      <c r="A310" s="72"/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  <c r="Z310" s="72"/>
    </row>
    <row r="311" spans="1:26" ht="15.75" customHeight="1">
      <c r="A311" s="72"/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  <c r="Z311" s="72"/>
    </row>
    <row r="312" spans="1:26" ht="15.75" customHeight="1">
      <c r="A312" s="72"/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  <c r="Z312" s="72"/>
    </row>
    <row r="313" spans="1:26" ht="15.75" customHeight="1">
      <c r="A313" s="72"/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  <c r="Z313" s="72"/>
    </row>
    <row r="314" spans="1:26" ht="15.75" customHeight="1">
      <c r="A314" s="72"/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  <c r="Z314" s="72"/>
    </row>
    <row r="315" spans="1:26" ht="15.75" customHeight="1">
      <c r="A315" s="72"/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  <c r="Z315" s="72"/>
    </row>
    <row r="316" spans="1:26" ht="15.75" customHeight="1">
      <c r="A316" s="72"/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  <c r="Z316" s="72"/>
    </row>
    <row r="317" spans="1:26" ht="15.75" customHeight="1">
      <c r="A317" s="72"/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  <c r="Z317" s="72"/>
    </row>
    <row r="318" spans="1:26" ht="15.75" customHeight="1">
      <c r="A318" s="72"/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  <c r="Z318" s="72"/>
    </row>
    <row r="319" spans="1:26" ht="15.75" customHeight="1">
      <c r="A319" s="72"/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  <c r="Z319" s="72"/>
    </row>
    <row r="320" spans="1:26" ht="15.75" customHeight="1">
      <c r="A320" s="72"/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  <c r="Z320" s="72"/>
    </row>
    <row r="321" spans="1:26" ht="15.75" customHeight="1">
      <c r="A321" s="72"/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  <c r="Z321" s="72"/>
    </row>
    <row r="322" spans="1:26" ht="15.75" customHeight="1">
      <c r="A322" s="72"/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  <c r="Z322" s="72"/>
    </row>
    <row r="323" spans="1:26" ht="15.75" customHeight="1">
      <c r="A323" s="72"/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  <c r="Z323" s="72"/>
    </row>
    <row r="324" spans="1:26" ht="15.75" customHeight="1">
      <c r="A324" s="72"/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  <c r="Z324" s="72"/>
    </row>
    <row r="325" spans="1:26" ht="15.75" customHeight="1">
      <c r="A325" s="72"/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  <c r="Z325" s="72"/>
    </row>
    <row r="326" spans="1:26" ht="15.75" customHeight="1">
      <c r="A326" s="72"/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  <c r="Z326" s="72"/>
    </row>
    <row r="327" spans="1:26" ht="15.75" customHeight="1">
      <c r="A327" s="72"/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  <c r="Z327" s="72"/>
    </row>
    <row r="328" spans="1:26" ht="15.75" customHeight="1">
      <c r="A328" s="72"/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  <c r="Z328" s="72"/>
    </row>
    <row r="329" spans="1:26" ht="15.75" customHeight="1">
      <c r="A329" s="72"/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  <c r="Z329" s="72"/>
    </row>
    <row r="330" spans="1:26" ht="15.75" customHeight="1">
      <c r="A330" s="72"/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  <c r="Z330" s="72"/>
    </row>
    <row r="331" spans="1:26" ht="15.75" customHeight="1">
      <c r="A331" s="72"/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  <c r="Z331" s="72"/>
    </row>
    <row r="332" spans="1:26" ht="15.75" customHeight="1">
      <c r="A332" s="72"/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  <c r="Z332" s="72"/>
    </row>
    <row r="333" spans="1:26" ht="15.75" customHeight="1">
      <c r="A333" s="72"/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  <c r="Z333" s="72"/>
    </row>
    <row r="334" spans="1:26" ht="15.75" customHeight="1">
      <c r="A334" s="72"/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</row>
    <row r="335" spans="1:26" ht="15.75" customHeight="1">
      <c r="A335" s="72"/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  <c r="Z335" s="72"/>
    </row>
    <row r="336" spans="1:26" ht="15.75" customHeight="1">
      <c r="A336" s="72"/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  <c r="Z336" s="72"/>
    </row>
    <row r="337" spans="1:26" ht="15.75" customHeight="1">
      <c r="A337" s="72"/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  <c r="Z337" s="72"/>
    </row>
    <row r="338" spans="1:26" ht="15.75" customHeight="1">
      <c r="A338" s="72"/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  <c r="Z338" s="72"/>
    </row>
    <row r="339" spans="1:26" ht="15.75" customHeight="1">
      <c r="A339" s="72"/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  <c r="Z339" s="72"/>
    </row>
    <row r="340" spans="1:26" ht="15.75" customHeight="1">
      <c r="A340" s="72"/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  <c r="Z340" s="72"/>
    </row>
    <row r="341" spans="1:26" ht="15.75" customHeight="1">
      <c r="A341" s="72"/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  <c r="Z341" s="72"/>
    </row>
    <row r="342" spans="1:26" ht="15.75" customHeight="1">
      <c r="A342" s="72"/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  <c r="Z342" s="72"/>
    </row>
    <row r="343" spans="1:26" ht="15.75" customHeight="1">
      <c r="A343" s="72"/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  <c r="Z343" s="72"/>
    </row>
    <row r="344" spans="1:26" ht="15.75" customHeight="1">
      <c r="A344" s="72"/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  <c r="Z344" s="72"/>
    </row>
    <row r="345" spans="1:26" ht="15.75" customHeight="1">
      <c r="A345" s="72"/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  <c r="Z345" s="72"/>
    </row>
    <row r="346" spans="1:26" ht="15.75" customHeight="1">
      <c r="A346" s="72"/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  <c r="Z346" s="72"/>
    </row>
    <row r="347" spans="1:26" ht="15.75" customHeight="1">
      <c r="A347" s="72"/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  <c r="Z347" s="72"/>
    </row>
    <row r="348" spans="1:26" ht="15.75" customHeight="1">
      <c r="A348" s="72"/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  <c r="Z348" s="72"/>
    </row>
    <row r="349" spans="1:26" ht="15.75" customHeight="1">
      <c r="A349" s="72"/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  <c r="Z349" s="72"/>
    </row>
    <row r="350" spans="1:26" ht="15.75" customHeight="1">
      <c r="A350" s="72"/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  <c r="Z350" s="72"/>
    </row>
    <row r="351" spans="1:26" ht="15.75" customHeight="1">
      <c r="A351" s="72"/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  <c r="Z351" s="72"/>
    </row>
    <row r="352" spans="1:26" ht="15.75" customHeight="1">
      <c r="A352" s="72"/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  <c r="Z352" s="72"/>
    </row>
    <row r="353" spans="1:26" ht="15.75" customHeight="1">
      <c r="A353" s="72"/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  <c r="Z353" s="72"/>
    </row>
    <row r="354" spans="1:26" ht="15.75" customHeight="1">
      <c r="A354" s="72"/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  <c r="Z354" s="72"/>
    </row>
    <row r="355" spans="1:26" ht="15.75" customHeight="1">
      <c r="A355" s="72"/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  <c r="Z355" s="72"/>
    </row>
    <row r="356" spans="1:26" ht="15.75" customHeight="1">
      <c r="A356" s="72"/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  <c r="Z356" s="72"/>
    </row>
    <row r="357" spans="1:26" ht="15.75" customHeight="1">
      <c r="A357" s="72"/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  <c r="Z357" s="72"/>
    </row>
    <row r="358" spans="1:26" ht="15.75" customHeight="1">
      <c r="A358" s="72"/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  <c r="Z358" s="72"/>
    </row>
    <row r="359" spans="1:26" ht="15.75" customHeight="1">
      <c r="A359" s="72"/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  <c r="Z359" s="72"/>
    </row>
    <row r="360" spans="1:26" ht="15.75" customHeight="1">
      <c r="A360" s="72"/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  <c r="Z360" s="72"/>
    </row>
    <row r="361" spans="1:26" ht="15.75" customHeight="1">
      <c r="A361" s="72"/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  <c r="Z361" s="72"/>
    </row>
    <row r="362" spans="1:26" ht="15.75" customHeight="1">
      <c r="A362" s="72"/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  <c r="Z362" s="72"/>
    </row>
    <row r="363" spans="1:26" ht="15.75" customHeight="1">
      <c r="A363" s="72"/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  <c r="Z363" s="72"/>
    </row>
    <row r="364" spans="1:26" ht="15.75" customHeight="1">
      <c r="A364" s="72"/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  <c r="Z364" s="72"/>
    </row>
    <row r="365" spans="1:26" ht="15.75" customHeight="1">
      <c r="A365" s="72"/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  <c r="Z365" s="72"/>
    </row>
    <row r="366" spans="1:26" ht="15.75" customHeight="1">
      <c r="A366" s="72"/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  <c r="Z366" s="72"/>
    </row>
    <row r="367" spans="1:26" ht="15.75" customHeight="1">
      <c r="A367" s="72"/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  <c r="Z367" s="72"/>
    </row>
    <row r="368" spans="1:26" ht="15.75" customHeight="1">
      <c r="A368" s="72"/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  <c r="Z368" s="72"/>
    </row>
    <row r="369" spans="1:26" ht="15.75" customHeight="1">
      <c r="A369" s="72"/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  <c r="Z369" s="72"/>
    </row>
    <row r="370" spans="1:26" ht="15.75" customHeight="1">
      <c r="A370" s="72"/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  <c r="Z370" s="72"/>
    </row>
    <row r="371" spans="1:26" ht="15.75" customHeight="1">
      <c r="A371" s="72"/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  <c r="Z371" s="72"/>
    </row>
    <row r="372" spans="1:26" ht="15.75" customHeight="1">
      <c r="A372" s="72"/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  <c r="Z372" s="72"/>
    </row>
    <row r="373" spans="1:26" ht="15.75" customHeight="1">
      <c r="A373" s="72"/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  <c r="Z373" s="72"/>
    </row>
    <row r="374" spans="1:26" ht="15.75" customHeight="1">
      <c r="A374" s="72"/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  <c r="Z374" s="72"/>
    </row>
    <row r="375" spans="1:26" ht="15.75" customHeight="1">
      <c r="A375" s="72"/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  <c r="Z375" s="72"/>
    </row>
    <row r="376" spans="1:26" ht="15.75" customHeight="1">
      <c r="A376" s="72"/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  <c r="Z376" s="72"/>
    </row>
    <row r="377" spans="1:26" ht="15.75" customHeight="1">
      <c r="A377" s="72"/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  <c r="Z377" s="72"/>
    </row>
    <row r="378" spans="1:26" ht="15.75" customHeight="1">
      <c r="A378" s="72"/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  <c r="Z378" s="72"/>
    </row>
    <row r="379" spans="1:26" ht="15.75" customHeight="1">
      <c r="A379" s="72"/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  <c r="Z379" s="72"/>
    </row>
    <row r="380" spans="1:26" ht="15.75" customHeight="1">
      <c r="A380" s="72"/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  <c r="Z380" s="72"/>
    </row>
    <row r="381" spans="1:26" ht="15.75" customHeight="1">
      <c r="A381" s="72"/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  <c r="Z381" s="72"/>
    </row>
    <row r="382" spans="1:26" ht="15.75" customHeight="1">
      <c r="A382" s="72"/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  <c r="Z382" s="72"/>
    </row>
    <row r="383" spans="1:26" ht="15.75" customHeight="1">
      <c r="A383" s="72"/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  <c r="Z383" s="72"/>
    </row>
    <row r="384" spans="1:26" ht="15.75" customHeight="1">
      <c r="A384" s="72"/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  <c r="Z384" s="72"/>
    </row>
    <row r="385" spans="1:26" ht="15.75" customHeight="1">
      <c r="A385" s="72"/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  <c r="Z385" s="72"/>
    </row>
    <row r="386" spans="1:26" ht="15.75" customHeight="1">
      <c r="A386" s="72"/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  <c r="Z386" s="72"/>
    </row>
    <row r="387" spans="1:26" ht="15.75" customHeight="1">
      <c r="A387" s="72"/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  <c r="Z387" s="72"/>
    </row>
    <row r="388" spans="1:26" ht="15.75" customHeight="1">
      <c r="A388" s="72"/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  <c r="Z388" s="72"/>
    </row>
    <row r="389" spans="1:26" ht="15.75" customHeight="1">
      <c r="A389" s="72"/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  <c r="Z389" s="72"/>
    </row>
    <row r="390" spans="1:26" ht="15.75" customHeight="1">
      <c r="A390" s="72"/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</row>
    <row r="391" spans="1:26" ht="15.75" customHeight="1">
      <c r="A391" s="72"/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  <c r="Z391" s="72"/>
    </row>
    <row r="392" spans="1:26" ht="15.75" customHeight="1">
      <c r="A392" s="72"/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  <c r="Z392" s="72"/>
    </row>
    <row r="393" spans="1:26" ht="15.75" customHeight="1">
      <c r="A393" s="72"/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  <c r="Z393" s="72"/>
    </row>
    <row r="394" spans="1:26" ht="15.75" customHeight="1">
      <c r="A394" s="72"/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  <c r="Z394" s="72"/>
    </row>
    <row r="395" spans="1:26" ht="15.75" customHeight="1">
      <c r="A395" s="72"/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  <c r="Z395" s="72"/>
    </row>
    <row r="396" spans="1:26" ht="15.75" customHeight="1">
      <c r="A396" s="72"/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  <c r="Z396" s="72"/>
    </row>
    <row r="397" spans="1:26" ht="15.75" customHeight="1">
      <c r="A397" s="72"/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spans="1:26" ht="15.75" customHeight="1">
      <c r="A398" s="72"/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  <c r="Z398" s="72"/>
    </row>
    <row r="399" spans="1:26" ht="15.75" customHeight="1">
      <c r="A399" s="72"/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</row>
    <row r="400" spans="1:26" ht="15.75" customHeight="1">
      <c r="A400" s="72"/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</row>
    <row r="401" spans="1:26" ht="15.75" customHeight="1">
      <c r="A401" s="72"/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</row>
    <row r="402" spans="1:26" ht="15.75" customHeight="1">
      <c r="A402" s="72"/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</row>
    <row r="403" spans="1:26" ht="15.75" customHeight="1">
      <c r="A403" s="72"/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</row>
    <row r="404" spans="1:26" ht="15.75" customHeight="1">
      <c r="A404" s="72"/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</row>
    <row r="405" spans="1:26" ht="15.75" customHeight="1">
      <c r="A405" s="72"/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</row>
    <row r="406" spans="1:26" ht="15.75" customHeight="1">
      <c r="A406" s="72"/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</row>
    <row r="407" spans="1:26" ht="15.75" customHeight="1">
      <c r="A407" s="72"/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</row>
    <row r="408" spans="1:26" ht="15.75" customHeight="1">
      <c r="A408" s="72"/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</row>
    <row r="409" spans="1:26" ht="15.75" customHeight="1">
      <c r="A409" s="72"/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</row>
    <row r="410" spans="1:26" ht="15.75" customHeight="1">
      <c r="A410" s="72"/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</row>
    <row r="411" spans="1:26" ht="15.75" customHeight="1">
      <c r="A411" s="72"/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</row>
    <row r="412" spans="1:26" ht="15.75" customHeight="1">
      <c r="A412" s="72"/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</row>
    <row r="413" spans="1:26" ht="15.75" customHeight="1">
      <c r="A413" s="72"/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</row>
    <row r="414" spans="1:26" ht="15.75" customHeight="1">
      <c r="A414" s="72"/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</row>
    <row r="415" spans="1:26" ht="15.75" customHeight="1">
      <c r="A415" s="72"/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</row>
    <row r="416" spans="1:26" ht="15.75" customHeight="1">
      <c r="A416" s="72"/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</row>
    <row r="417" spans="1:26" ht="15.75" customHeight="1">
      <c r="A417" s="72"/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</row>
    <row r="418" spans="1:26" ht="15.75" customHeight="1">
      <c r="A418" s="72"/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  <c r="Z418" s="72"/>
    </row>
    <row r="419" spans="1:26" ht="15.75" customHeight="1">
      <c r="A419" s="72"/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</row>
    <row r="420" spans="1:26" ht="15.75" customHeight="1">
      <c r="A420" s="72"/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</row>
    <row r="421" spans="1:26" ht="15.75" customHeight="1">
      <c r="A421" s="72"/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  <c r="Z421" s="72"/>
    </row>
    <row r="422" spans="1:26" ht="15.75" customHeight="1">
      <c r="A422" s="72"/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  <c r="Z422" s="72"/>
    </row>
    <row r="423" spans="1:26" ht="15.75" customHeight="1">
      <c r="A423" s="72"/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  <c r="Z423" s="72"/>
    </row>
    <row r="424" spans="1:26" ht="15.75" customHeight="1">
      <c r="A424" s="72"/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  <c r="Z424" s="72"/>
    </row>
    <row r="425" spans="1:26" ht="15.75" customHeight="1">
      <c r="A425" s="72"/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  <c r="Z425" s="72"/>
    </row>
    <row r="426" spans="1:26" ht="15.75" customHeight="1">
      <c r="A426" s="72"/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  <c r="Z426" s="72"/>
    </row>
    <row r="427" spans="1:26" ht="15.75" customHeight="1">
      <c r="A427" s="72"/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  <c r="Z427" s="72"/>
    </row>
    <row r="428" spans="1:26" ht="15.75" customHeight="1">
      <c r="A428" s="72"/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  <c r="Z428" s="72"/>
    </row>
    <row r="429" spans="1:26" ht="15.75" customHeight="1">
      <c r="A429" s="72"/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  <c r="Z429" s="72"/>
    </row>
    <row r="430" spans="1:26" ht="15.75" customHeight="1">
      <c r="A430" s="72"/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  <c r="Z430" s="72"/>
    </row>
    <row r="431" spans="1:26" ht="15.75" customHeight="1">
      <c r="A431" s="72"/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  <c r="Z431" s="72"/>
    </row>
    <row r="432" spans="1:26" ht="15.75" customHeight="1">
      <c r="A432" s="72"/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  <c r="Z432" s="72"/>
    </row>
    <row r="433" spans="1:26" ht="15.75" customHeight="1">
      <c r="A433" s="72"/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  <c r="Z433" s="72"/>
    </row>
    <row r="434" spans="1:26" ht="15.75" customHeight="1">
      <c r="A434" s="72"/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  <c r="Z434" s="72"/>
    </row>
    <row r="435" spans="1:26" ht="15.75" customHeight="1">
      <c r="A435" s="72"/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  <c r="Z435" s="72"/>
    </row>
    <row r="436" spans="1:26" ht="15.75" customHeight="1">
      <c r="A436" s="72"/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  <c r="Z436" s="72"/>
    </row>
    <row r="437" spans="1:26" ht="15.75" customHeight="1">
      <c r="A437" s="72"/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  <c r="Z437" s="72"/>
    </row>
    <row r="438" spans="1:26" ht="15.75" customHeight="1">
      <c r="A438" s="72"/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  <c r="Z438" s="72"/>
    </row>
    <row r="439" spans="1:26" ht="15.75" customHeight="1">
      <c r="A439" s="72"/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  <c r="Z439" s="72"/>
    </row>
    <row r="440" spans="1:26" ht="15.75" customHeight="1">
      <c r="A440" s="72"/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  <c r="Z440" s="72"/>
    </row>
    <row r="441" spans="1:26" ht="15.75" customHeight="1">
      <c r="A441" s="72"/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  <c r="Z441" s="72"/>
    </row>
    <row r="442" spans="1:26" ht="15.75" customHeight="1">
      <c r="A442" s="72"/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  <c r="Z442" s="72"/>
    </row>
    <row r="443" spans="1:26" ht="15.75" customHeight="1">
      <c r="A443" s="72"/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  <c r="Z443" s="72"/>
    </row>
    <row r="444" spans="1:26" ht="15.75" customHeight="1">
      <c r="A444" s="72"/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  <c r="Z444" s="72"/>
    </row>
    <row r="445" spans="1:26" ht="15.75" customHeight="1">
      <c r="A445" s="72"/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</row>
    <row r="446" spans="1:26" ht="15.75" customHeight="1">
      <c r="A446" s="72"/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</row>
    <row r="447" spans="1:26" ht="15.75" customHeight="1">
      <c r="A447" s="72"/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  <c r="Z447" s="72"/>
    </row>
    <row r="448" spans="1:26" ht="15.75" customHeight="1">
      <c r="A448" s="72"/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  <c r="Z448" s="72"/>
    </row>
    <row r="449" spans="1:26" ht="15.75" customHeight="1">
      <c r="A449" s="72"/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  <c r="Z449" s="72"/>
    </row>
    <row r="450" spans="1:26" ht="15.75" customHeight="1">
      <c r="A450" s="72"/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  <c r="Z450" s="72"/>
    </row>
    <row r="451" spans="1:26" ht="15.75" customHeight="1">
      <c r="A451" s="72"/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  <c r="Z451" s="72"/>
    </row>
    <row r="452" spans="1:26" ht="15.75" customHeight="1">
      <c r="A452" s="72"/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  <c r="Z452" s="72"/>
    </row>
    <row r="453" spans="1:26" ht="15.75" customHeight="1">
      <c r="A453" s="72"/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  <c r="Z453" s="72"/>
    </row>
    <row r="454" spans="1:26" ht="15.75" customHeight="1">
      <c r="A454" s="72"/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  <c r="Z454" s="72"/>
    </row>
    <row r="455" spans="1:26" ht="15.75" customHeight="1">
      <c r="A455" s="72"/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  <c r="Z455" s="72"/>
    </row>
    <row r="456" spans="1:26" ht="15.75" customHeight="1">
      <c r="A456" s="72"/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  <c r="Z456" s="72"/>
    </row>
    <row r="457" spans="1:26" ht="15.75" customHeight="1">
      <c r="A457" s="72"/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  <c r="Z457" s="72"/>
    </row>
    <row r="458" spans="1:26" ht="15.75" customHeight="1">
      <c r="A458" s="72"/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  <c r="Z458" s="72"/>
    </row>
    <row r="459" spans="1:26" ht="15.75" customHeight="1">
      <c r="A459" s="72"/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  <c r="Z459" s="72"/>
    </row>
    <row r="460" spans="1:26" ht="15.75" customHeight="1">
      <c r="A460" s="72"/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  <c r="Z460" s="72"/>
    </row>
    <row r="461" spans="1:26" ht="15.75" customHeight="1">
      <c r="A461" s="72"/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  <c r="Z461" s="72"/>
    </row>
    <row r="462" spans="1:26" ht="15.75" customHeight="1">
      <c r="A462" s="72"/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  <c r="Z462" s="72"/>
    </row>
    <row r="463" spans="1:26" ht="15.75" customHeight="1">
      <c r="A463" s="72"/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  <c r="Z463" s="72"/>
    </row>
    <row r="464" spans="1:26" ht="15.75" customHeight="1">
      <c r="A464" s="72"/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  <c r="Z464" s="72"/>
    </row>
    <row r="465" spans="1:26" ht="15.75" customHeight="1">
      <c r="A465" s="72"/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</row>
    <row r="466" spans="1:26" ht="15.75" customHeight="1">
      <c r="A466" s="72"/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</row>
    <row r="467" spans="1:26" ht="15.75" customHeight="1">
      <c r="A467" s="72"/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</row>
    <row r="468" spans="1:26" ht="15.75" customHeight="1">
      <c r="A468" s="72"/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  <c r="Z468" s="72"/>
    </row>
    <row r="469" spans="1:26" ht="15.75" customHeight="1">
      <c r="A469" s="72"/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  <c r="Z469" s="72"/>
    </row>
    <row r="470" spans="1:26" ht="15.75" customHeight="1">
      <c r="A470" s="72"/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  <c r="Z470" s="72"/>
    </row>
    <row r="471" spans="1:26" ht="15.75" customHeight="1">
      <c r="A471" s="72"/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  <c r="Z471" s="72"/>
    </row>
    <row r="472" spans="1:26" ht="15.75" customHeight="1">
      <c r="A472" s="72"/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  <c r="Z472" s="72"/>
    </row>
    <row r="473" spans="1:26" ht="15.75" customHeight="1">
      <c r="A473" s="72"/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  <c r="Z473" s="72"/>
    </row>
    <row r="474" spans="1:26" ht="15.75" customHeight="1">
      <c r="A474" s="72"/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  <c r="Z474" s="72"/>
    </row>
    <row r="475" spans="1:26" ht="15.75" customHeight="1">
      <c r="A475" s="72"/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  <c r="Z475" s="72"/>
    </row>
    <row r="476" spans="1:26" ht="15.75" customHeight="1">
      <c r="A476" s="72"/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</row>
    <row r="477" spans="1:26" ht="15.75" customHeight="1">
      <c r="A477" s="72"/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</row>
    <row r="478" spans="1:26" ht="15.75" customHeight="1">
      <c r="A478" s="72"/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</row>
    <row r="479" spans="1:26" ht="15.75" customHeight="1">
      <c r="A479" s="72"/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</row>
    <row r="480" spans="1:26" ht="15.75" customHeight="1">
      <c r="A480" s="72"/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</row>
    <row r="481" spans="1:26" ht="15.75" customHeight="1">
      <c r="A481" s="72"/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  <c r="Z481" s="72"/>
    </row>
    <row r="482" spans="1:26" ht="15.75" customHeight="1">
      <c r="A482" s="72"/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  <c r="Z482" s="72"/>
    </row>
    <row r="483" spans="1:26" ht="15.75" customHeight="1">
      <c r="A483" s="72"/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  <c r="Z483" s="72"/>
    </row>
    <row r="484" spans="1:26" ht="15.75" customHeight="1">
      <c r="A484" s="72"/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  <c r="Z484" s="72"/>
    </row>
    <row r="485" spans="1:26" ht="15.75" customHeight="1">
      <c r="A485" s="72"/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  <c r="Z485" s="72"/>
    </row>
    <row r="486" spans="1:26" ht="15.75" customHeight="1">
      <c r="A486" s="72"/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  <c r="Z486" s="72"/>
    </row>
    <row r="487" spans="1:26" ht="15.75" customHeight="1">
      <c r="A487" s="72"/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  <c r="Z487" s="72"/>
    </row>
    <row r="488" spans="1:26" ht="15.75" customHeight="1">
      <c r="A488" s="72"/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  <c r="Z488" s="72"/>
    </row>
    <row r="489" spans="1:26" ht="15.75" customHeight="1">
      <c r="A489" s="72"/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  <c r="Z489" s="72"/>
    </row>
    <row r="490" spans="1:26" ht="15.75" customHeight="1">
      <c r="A490" s="72"/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  <c r="Z490" s="72"/>
    </row>
    <row r="491" spans="1:26" ht="15.75" customHeight="1">
      <c r="A491" s="72"/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  <c r="Z491" s="72"/>
    </row>
    <row r="492" spans="1:26" ht="15.75" customHeight="1">
      <c r="A492" s="72"/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  <c r="Z492" s="72"/>
    </row>
    <row r="493" spans="1:26" ht="15.75" customHeight="1">
      <c r="A493" s="72"/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  <c r="Z493" s="72"/>
    </row>
    <row r="494" spans="1:26" ht="15.75" customHeight="1">
      <c r="A494" s="72"/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  <c r="Z494" s="72"/>
    </row>
    <row r="495" spans="1:26" ht="15.75" customHeight="1">
      <c r="A495" s="72"/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  <c r="Z495" s="72"/>
    </row>
    <row r="496" spans="1:26" ht="15.75" customHeight="1">
      <c r="A496" s="72"/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  <c r="Z496" s="72"/>
    </row>
    <row r="497" spans="1:26" ht="15.75" customHeight="1">
      <c r="A497" s="72"/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  <c r="Z497" s="72"/>
    </row>
    <row r="498" spans="1:26" ht="15.75" customHeight="1">
      <c r="A498" s="72"/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  <c r="Z498" s="72"/>
    </row>
    <row r="499" spans="1:26" ht="15.75" customHeight="1">
      <c r="A499" s="72"/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  <c r="Z499" s="72"/>
    </row>
    <row r="500" spans="1:26" ht="15.75" customHeight="1">
      <c r="A500" s="72"/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  <c r="Z500" s="72"/>
    </row>
    <row r="501" spans="1:26" ht="15.75" customHeight="1">
      <c r="A501" s="72"/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  <c r="Z501" s="72"/>
    </row>
    <row r="502" spans="1:26" ht="15.75" customHeight="1">
      <c r="A502" s="72"/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  <c r="Z502" s="72"/>
    </row>
    <row r="503" spans="1:26" ht="15.75" customHeight="1">
      <c r="A503" s="72"/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  <c r="Z503" s="72"/>
    </row>
    <row r="504" spans="1:26" ht="15.75" customHeight="1">
      <c r="A504" s="72"/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  <c r="Z504" s="72"/>
    </row>
    <row r="505" spans="1:26" ht="15.75" customHeight="1">
      <c r="A505" s="72"/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  <c r="Z505" s="72"/>
    </row>
    <row r="506" spans="1:26" ht="15.75" customHeight="1">
      <c r="A506" s="72"/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  <c r="Z506" s="72"/>
    </row>
    <row r="507" spans="1:26" ht="15.75" customHeight="1">
      <c r="A507" s="72"/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  <c r="Z507" s="72"/>
    </row>
    <row r="508" spans="1:26" ht="15.75" customHeight="1">
      <c r="A508" s="72"/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  <c r="Z508" s="72"/>
    </row>
    <row r="509" spans="1:26" ht="15.75" customHeight="1">
      <c r="A509" s="72"/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  <c r="Z509" s="72"/>
    </row>
    <row r="510" spans="1:26" ht="15.75" customHeight="1">
      <c r="A510" s="72"/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  <c r="Z510" s="72"/>
    </row>
    <row r="511" spans="1:26" ht="15.75" customHeight="1">
      <c r="A511" s="72"/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  <c r="Z511" s="72"/>
    </row>
    <row r="512" spans="1:26" ht="15.75" customHeight="1">
      <c r="A512" s="72"/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  <c r="Z512" s="72"/>
    </row>
    <row r="513" spans="1:26" ht="15.75" customHeight="1">
      <c r="A513" s="72"/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  <c r="Z513" s="72"/>
    </row>
    <row r="514" spans="1:26" ht="15.75" customHeight="1">
      <c r="A514" s="72"/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  <c r="Z514" s="72"/>
    </row>
    <row r="515" spans="1:26" ht="15.75" customHeight="1">
      <c r="A515" s="72"/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  <c r="Z515" s="72"/>
    </row>
    <row r="516" spans="1:26" ht="15.75" customHeight="1">
      <c r="A516" s="72"/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  <c r="Z516" s="72"/>
    </row>
    <row r="517" spans="1:26" ht="15.75" customHeight="1">
      <c r="A517" s="72"/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  <c r="Z517" s="72"/>
    </row>
    <row r="518" spans="1:26" ht="15.75" customHeight="1">
      <c r="A518" s="72"/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  <c r="Z518" s="72"/>
    </row>
    <row r="519" spans="1:26" ht="15.75" customHeight="1">
      <c r="A519" s="72"/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  <c r="Z519" s="72"/>
    </row>
    <row r="520" spans="1:26" ht="15.75" customHeight="1">
      <c r="A520" s="72"/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  <c r="Z520" s="72"/>
    </row>
    <row r="521" spans="1:26" ht="15.75" customHeight="1">
      <c r="A521" s="72"/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  <c r="Z521" s="72"/>
    </row>
    <row r="522" spans="1:26" ht="15.75" customHeight="1">
      <c r="A522" s="72"/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  <c r="Z522" s="72"/>
    </row>
    <row r="523" spans="1:26" ht="15.75" customHeight="1">
      <c r="A523" s="72"/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  <c r="Z523" s="72"/>
    </row>
    <row r="524" spans="1:26" ht="15.75" customHeight="1">
      <c r="A524" s="72"/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  <c r="Z524" s="72"/>
    </row>
    <row r="525" spans="1:26" ht="15.75" customHeight="1">
      <c r="A525" s="72"/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  <c r="Z525" s="72"/>
    </row>
    <row r="526" spans="1:26" ht="15.75" customHeight="1">
      <c r="A526" s="72"/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  <c r="Z526" s="72"/>
    </row>
    <row r="527" spans="1:26" ht="15.75" customHeight="1">
      <c r="A527" s="72"/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  <c r="Z527" s="72"/>
    </row>
    <row r="528" spans="1:26" ht="15.75" customHeight="1">
      <c r="A528" s="72"/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  <c r="Z528" s="72"/>
    </row>
    <row r="529" spans="1:26" ht="15.75" customHeight="1">
      <c r="A529" s="72"/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  <c r="Z529" s="72"/>
    </row>
    <row r="530" spans="1:26" ht="15.75" customHeight="1">
      <c r="A530" s="72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  <c r="Z530" s="72"/>
    </row>
    <row r="531" spans="1:26" ht="15.75" customHeight="1">
      <c r="A531" s="72"/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  <c r="Z531" s="72"/>
    </row>
    <row r="532" spans="1:26" ht="15.75" customHeight="1">
      <c r="A532" s="72"/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  <c r="Z532" s="72"/>
    </row>
    <row r="533" spans="1:26" ht="15.75" customHeight="1">
      <c r="A533" s="72"/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  <c r="Z533" s="72"/>
    </row>
    <row r="534" spans="1:26" ht="15.75" customHeight="1">
      <c r="A534" s="72"/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  <c r="Z534" s="72"/>
    </row>
    <row r="535" spans="1:26" ht="15.75" customHeight="1">
      <c r="A535" s="72"/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  <c r="Z535" s="72"/>
    </row>
    <row r="536" spans="1:26" ht="15.75" customHeight="1">
      <c r="A536" s="72"/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  <c r="Z536" s="72"/>
    </row>
    <row r="537" spans="1:26" ht="15.75" customHeight="1">
      <c r="A537" s="72"/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  <c r="Z537" s="72"/>
    </row>
    <row r="538" spans="1:26" ht="15.75" customHeight="1">
      <c r="A538" s="72"/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  <c r="Z538" s="72"/>
    </row>
    <row r="539" spans="1:26" ht="15.75" customHeight="1">
      <c r="A539" s="72"/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  <c r="Z539" s="72"/>
    </row>
    <row r="540" spans="1:26" ht="15.75" customHeight="1">
      <c r="A540" s="72"/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  <c r="Z540" s="72"/>
    </row>
    <row r="541" spans="1:26" ht="15.75" customHeight="1">
      <c r="A541" s="72"/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  <c r="Z541" s="72"/>
    </row>
    <row r="542" spans="1:26" ht="15.75" customHeight="1">
      <c r="A542" s="72"/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  <c r="Z542" s="72"/>
    </row>
    <row r="543" spans="1:26" ht="15.75" customHeight="1">
      <c r="A543" s="72"/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  <c r="Z543" s="72"/>
    </row>
    <row r="544" spans="1:26" ht="15.75" customHeight="1">
      <c r="A544" s="72"/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  <c r="Z544" s="72"/>
    </row>
    <row r="545" spans="1:26" ht="15.75" customHeight="1">
      <c r="A545" s="72"/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  <c r="Z545" s="72"/>
    </row>
    <row r="546" spans="1:26" ht="15.75" customHeight="1">
      <c r="A546" s="72"/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  <c r="Z546" s="72"/>
    </row>
    <row r="547" spans="1:26" ht="15.75" customHeight="1">
      <c r="A547" s="72"/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  <c r="Z547" s="72"/>
    </row>
    <row r="548" spans="1:26" ht="15.75" customHeight="1">
      <c r="A548" s="72"/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  <c r="Z548" s="72"/>
    </row>
    <row r="549" spans="1:26" ht="15.75" customHeight="1">
      <c r="A549" s="72"/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  <c r="Z549" s="72"/>
    </row>
    <row r="550" spans="1:26" ht="15.75" customHeight="1">
      <c r="A550" s="72"/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  <c r="Z550" s="72"/>
    </row>
    <row r="551" spans="1:26" ht="15.75" customHeight="1">
      <c r="A551" s="72"/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  <c r="Z551" s="72"/>
    </row>
    <row r="552" spans="1:26" ht="15.75" customHeight="1">
      <c r="A552" s="72"/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  <c r="Z552" s="72"/>
    </row>
    <row r="553" spans="1:26" ht="15.75" customHeight="1">
      <c r="A553" s="72"/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  <c r="Z553" s="72"/>
    </row>
    <row r="554" spans="1:26" ht="15.75" customHeight="1">
      <c r="A554" s="72"/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  <c r="Z554" s="72"/>
    </row>
    <row r="555" spans="1:26" ht="15.75" customHeight="1">
      <c r="A555" s="72"/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  <c r="Z555" s="72"/>
    </row>
    <row r="556" spans="1:26" ht="15.75" customHeight="1">
      <c r="A556" s="72"/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</row>
    <row r="557" spans="1:26" ht="15.75" customHeight="1">
      <c r="A557" s="72"/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</row>
    <row r="558" spans="1:26" ht="15.75" customHeight="1">
      <c r="A558" s="72"/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</row>
    <row r="559" spans="1:26" ht="15.75" customHeight="1">
      <c r="A559" s="72"/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  <c r="Z559" s="72"/>
    </row>
    <row r="560" spans="1:26" ht="15.75" customHeight="1">
      <c r="A560" s="72"/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  <c r="Z560" s="72"/>
    </row>
    <row r="561" spans="1:26" ht="15.75" customHeight="1">
      <c r="A561" s="72"/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  <c r="Z561" s="72"/>
    </row>
    <row r="562" spans="1:26" ht="15.75" customHeight="1">
      <c r="A562" s="72"/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  <c r="Z562" s="72"/>
    </row>
    <row r="563" spans="1:26" ht="15.75" customHeight="1">
      <c r="A563" s="72"/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  <c r="Z563" s="72"/>
    </row>
    <row r="564" spans="1:26" ht="15.75" customHeight="1">
      <c r="A564" s="72"/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  <c r="Z564" s="72"/>
    </row>
    <row r="565" spans="1:26" ht="15.75" customHeight="1">
      <c r="A565" s="72"/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  <c r="Z565" s="72"/>
    </row>
    <row r="566" spans="1:26" ht="15.75" customHeight="1">
      <c r="A566" s="72"/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  <c r="Z566" s="72"/>
    </row>
    <row r="567" spans="1:26" ht="15.75" customHeight="1">
      <c r="A567" s="72"/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  <c r="Z567" s="72"/>
    </row>
    <row r="568" spans="1:26" ht="15.75" customHeight="1">
      <c r="A568" s="72"/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  <c r="Z568" s="72"/>
    </row>
    <row r="569" spans="1:26" ht="15.75" customHeight="1">
      <c r="A569" s="72"/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  <c r="Z569" s="72"/>
    </row>
    <row r="570" spans="1:26" ht="15.75" customHeight="1">
      <c r="A570" s="72"/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  <c r="Z570" s="72"/>
    </row>
    <row r="571" spans="1:26" ht="15.75" customHeight="1">
      <c r="A571" s="72"/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  <c r="Z571" s="72"/>
    </row>
    <row r="572" spans="1:26" ht="15.75" customHeight="1">
      <c r="A572" s="72"/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  <c r="Z572" s="72"/>
    </row>
    <row r="573" spans="1:26" ht="15.75" customHeight="1">
      <c r="A573" s="72"/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  <c r="Z573" s="72"/>
    </row>
    <row r="574" spans="1:26" ht="15.75" customHeight="1">
      <c r="A574" s="72"/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  <c r="Z574" s="72"/>
    </row>
    <row r="575" spans="1:26" ht="15.75" customHeight="1">
      <c r="A575" s="72"/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  <c r="Z575" s="72"/>
    </row>
    <row r="576" spans="1:26" ht="15.75" customHeight="1">
      <c r="A576" s="72"/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  <c r="Z576" s="72"/>
    </row>
    <row r="577" spans="1:26" ht="15.75" customHeight="1">
      <c r="A577" s="72"/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  <c r="Z577" s="72"/>
    </row>
    <row r="578" spans="1:26" ht="15.75" customHeight="1">
      <c r="A578" s="72"/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  <c r="Z578" s="72"/>
    </row>
    <row r="579" spans="1:26" ht="15.75" customHeight="1">
      <c r="A579" s="72"/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  <c r="Z579" s="72"/>
    </row>
    <row r="580" spans="1:26" ht="15.75" customHeight="1">
      <c r="A580" s="72"/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  <c r="Z580" s="72"/>
    </row>
    <row r="581" spans="1:26" ht="15.75" customHeight="1">
      <c r="A581" s="72"/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  <c r="Z581" s="72"/>
    </row>
    <row r="582" spans="1:26" ht="15.75" customHeight="1">
      <c r="A582" s="72"/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  <c r="Z582" s="72"/>
    </row>
    <row r="583" spans="1:26" ht="15.75" customHeight="1">
      <c r="A583" s="72"/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  <c r="Z583" s="72"/>
    </row>
    <row r="584" spans="1:26" ht="15.75" customHeight="1">
      <c r="A584" s="72"/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  <c r="Z584" s="72"/>
    </row>
    <row r="585" spans="1:26" ht="15.75" customHeight="1">
      <c r="A585" s="72"/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  <c r="Z585" s="72"/>
    </row>
    <row r="586" spans="1:26" ht="15.75" customHeight="1">
      <c r="A586" s="72"/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  <c r="Z586" s="72"/>
    </row>
    <row r="587" spans="1:26" ht="15.75" customHeight="1">
      <c r="A587" s="72"/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  <c r="Z587" s="72"/>
    </row>
    <row r="588" spans="1:26" ht="15.75" customHeight="1">
      <c r="A588" s="72"/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  <c r="Z588" s="72"/>
    </row>
    <row r="589" spans="1:26" ht="15.75" customHeight="1">
      <c r="A589" s="72"/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  <c r="Z589" s="72"/>
    </row>
    <row r="590" spans="1:26" ht="15.75" customHeight="1">
      <c r="A590" s="72"/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  <c r="Z590" s="72"/>
    </row>
    <row r="591" spans="1:26" ht="15.75" customHeight="1">
      <c r="A591" s="72"/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  <c r="Z591" s="72"/>
    </row>
    <row r="592" spans="1:26" ht="15.75" customHeight="1">
      <c r="A592" s="72"/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  <c r="Z592" s="72"/>
    </row>
    <row r="593" spans="1:26" ht="15.75" customHeight="1">
      <c r="A593" s="72"/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  <c r="Z593" s="72"/>
    </row>
    <row r="594" spans="1:26" ht="15.75" customHeight="1">
      <c r="A594" s="72"/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  <c r="Z594" s="72"/>
    </row>
    <row r="595" spans="1:26" ht="15.75" customHeight="1">
      <c r="A595" s="72"/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  <c r="Z595" s="72"/>
    </row>
    <row r="596" spans="1:26" ht="15.75" customHeight="1">
      <c r="A596" s="72"/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  <c r="Z596" s="72"/>
    </row>
    <row r="597" spans="1:26" ht="15.75" customHeight="1">
      <c r="A597" s="72"/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  <c r="Z597" s="72"/>
    </row>
    <row r="598" spans="1:26" ht="15.75" customHeight="1">
      <c r="A598" s="72"/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  <c r="Z598" s="72"/>
    </row>
    <row r="599" spans="1:26" ht="15.75" customHeight="1">
      <c r="A599" s="72"/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  <c r="Z599" s="72"/>
    </row>
    <row r="600" spans="1:26" ht="15.75" customHeight="1">
      <c r="A600" s="72"/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  <c r="Z600" s="72"/>
    </row>
    <row r="601" spans="1:26" ht="15.75" customHeight="1">
      <c r="A601" s="72"/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  <c r="Z601" s="72"/>
    </row>
    <row r="602" spans="1:26" ht="15.75" customHeight="1">
      <c r="A602" s="72"/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  <c r="Z602" s="72"/>
    </row>
    <row r="603" spans="1:26" ht="15.75" customHeight="1">
      <c r="A603" s="72"/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  <c r="Z603" s="72"/>
    </row>
    <row r="604" spans="1:26" ht="15.75" customHeight="1">
      <c r="A604" s="72"/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  <c r="Z604" s="72"/>
    </row>
    <row r="605" spans="1:26" ht="15.75" customHeight="1">
      <c r="A605" s="72"/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  <c r="Z605" s="72"/>
    </row>
    <row r="606" spans="1:26" ht="15.75" customHeight="1">
      <c r="A606" s="72"/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  <c r="Z606" s="72"/>
    </row>
    <row r="607" spans="1:26" ht="15.75" customHeight="1">
      <c r="A607" s="72"/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  <c r="Z607" s="72"/>
    </row>
    <row r="608" spans="1:26" ht="15.75" customHeight="1">
      <c r="A608" s="72"/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  <c r="Z608" s="72"/>
    </row>
    <row r="609" spans="1:26" ht="15.75" customHeight="1">
      <c r="A609" s="72"/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  <c r="Z609" s="72"/>
    </row>
    <row r="610" spans="1:26" ht="15.75" customHeight="1">
      <c r="A610" s="72"/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  <c r="Z610" s="72"/>
    </row>
    <row r="611" spans="1:26" ht="15.75" customHeight="1">
      <c r="A611" s="72"/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  <c r="Z611" s="72"/>
    </row>
    <row r="612" spans="1:26" ht="15.75" customHeight="1">
      <c r="A612" s="72"/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  <c r="Z612" s="72"/>
    </row>
    <row r="613" spans="1:26" ht="15.75" customHeight="1">
      <c r="A613" s="72"/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  <c r="Z613" s="72"/>
    </row>
    <row r="614" spans="1:26" ht="15.75" customHeight="1">
      <c r="A614" s="72"/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  <c r="Z614" s="72"/>
    </row>
    <row r="615" spans="1:26" ht="15.75" customHeight="1">
      <c r="A615" s="72"/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  <c r="Z615" s="72"/>
    </row>
    <row r="616" spans="1:26" ht="15.75" customHeight="1">
      <c r="A616" s="72"/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  <c r="Z616" s="72"/>
    </row>
    <row r="617" spans="1:26" ht="15.75" customHeight="1">
      <c r="A617" s="72"/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  <c r="Z617" s="72"/>
    </row>
    <row r="618" spans="1:26" ht="15.75" customHeight="1">
      <c r="A618" s="72"/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  <c r="Z618" s="72"/>
    </row>
    <row r="619" spans="1:26" ht="15.75" customHeight="1">
      <c r="A619" s="72"/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  <c r="Z619" s="72"/>
    </row>
    <row r="620" spans="1:26" ht="15.75" customHeight="1">
      <c r="A620" s="72"/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  <c r="Z620" s="72"/>
    </row>
    <row r="621" spans="1:26" ht="15.75" customHeight="1">
      <c r="A621" s="72"/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  <c r="Z621" s="72"/>
    </row>
    <row r="622" spans="1:26" ht="15.75" customHeight="1">
      <c r="A622" s="72"/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  <c r="Z622" s="72"/>
    </row>
    <row r="623" spans="1:26" ht="15.75" customHeight="1">
      <c r="A623" s="72"/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  <c r="Z623" s="72"/>
    </row>
    <row r="624" spans="1:26" ht="15.75" customHeight="1">
      <c r="A624" s="72"/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  <c r="Z624" s="72"/>
    </row>
    <row r="625" spans="1:26" ht="15.75" customHeight="1">
      <c r="A625" s="72"/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  <c r="Z625" s="72"/>
    </row>
    <row r="626" spans="1:26" ht="15.75" customHeight="1">
      <c r="A626" s="72"/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  <c r="Z626" s="72"/>
    </row>
    <row r="627" spans="1:26" ht="15.75" customHeight="1">
      <c r="A627" s="72"/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  <c r="Z627" s="72"/>
    </row>
    <row r="628" spans="1:26" ht="15.75" customHeight="1">
      <c r="A628" s="72"/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  <c r="Z628" s="72"/>
    </row>
    <row r="629" spans="1:26" ht="15.75" customHeight="1">
      <c r="A629" s="72"/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  <c r="Z629" s="72"/>
    </row>
    <row r="630" spans="1:26" ht="15.75" customHeight="1">
      <c r="A630" s="72"/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  <c r="Z630" s="72"/>
    </row>
    <row r="631" spans="1:26" ht="15.75" customHeight="1">
      <c r="A631" s="72"/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  <c r="Z631" s="72"/>
    </row>
    <row r="632" spans="1:26" ht="15.75" customHeight="1">
      <c r="A632" s="72"/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  <c r="Z632" s="72"/>
    </row>
    <row r="633" spans="1:26" ht="15.75" customHeight="1">
      <c r="A633" s="72"/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  <c r="Z633" s="72"/>
    </row>
    <row r="634" spans="1:26" ht="15.75" customHeight="1">
      <c r="A634" s="72"/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  <c r="Z634" s="72"/>
    </row>
    <row r="635" spans="1:26" ht="15.75" customHeight="1">
      <c r="A635" s="72"/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  <c r="Z635" s="72"/>
    </row>
    <row r="636" spans="1:26" ht="15.75" customHeight="1">
      <c r="A636" s="72"/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  <c r="Z636" s="72"/>
    </row>
    <row r="637" spans="1:26" ht="15.75" customHeight="1">
      <c r="A637" s="72"/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  <c r="Z637" s="72"/>
    </row>
    <row r="638" spans="1:26" ht="15.75" customHeight="1">
      <c r="A638" s="72"/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  <c r="Z638" s="72"/>
    </row>
    <row r="639" spans="1:26" ht="15.75" customHeight="1">
      <c r="A639" s="72"/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  <c r="Z639" s="72"/>
    </row>
    <row r="640" spans="1:26" ht="15.75" customHeight="1">
      <c r="A640" s="72"/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  <c r="Z640" s="72"/>
    </row>
    <row r="641" spans="1:26" ht="15.75" customHeight="1">
      <c r="A641" s="72"/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  <c r="Z641" s="72"/>
    </row>
    <row r="642" spans="1:26" ht="15.75" customHeight="1">
      <c r="A642" s="72"/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  <c r="Z642" s="72"/>
    </row>
    <row r="643" spans="1:26" ht="15.75" customHeight="1">
      <c r="A643" s="72"/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  <c r="Z643" s="72"/>
    </row>
    <row r="644" spans="1:26" ht="15.75" customHeight="1">
      <c r="A644" s="72"/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  <c r="Z644" s="72"/>
    </row>
    <row r="645" spans="1:26" ht="15.75" customHeight="1">
      <c r="A645" s="72"/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  <c r="Z645" s="72"/>
    </row>
    <row r="646" spans="1:26" ht="15.75" customHeight="1">
      <c r="A646" s="72"/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  <c r="Z646" s="72"/>
    </row>
    <row r="647" spans="1:26" ht="15.75" customHeight="1">
      <c r="A647" s="72"/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  <c r="Z647" s="72"/>
    </row>
    <row r="648" spans="1:26" ht="15.75" customHeight="1">
      <c r="A648" s="72"/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  <c r="Z648" s="72"/>
    </row>
    <row r="649" spans="1:26" ht="15.75" customHeight="1">
      <c r="A649" s="72"/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  <c r="Z649" s="72"/>
    </row>
    <row r="650" spans="1:26" ht="15.75" customHeight="1">
      <c r="A650" s="72"/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  <c r="Z650" s="72"/>
    </row>
    <row r="651" spans="1:26" ht="15.75" customHeight="1">
      <c r="A651" s="72"/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  <c r="Z651" s="72"/>
    </row>
    <row r="652" spans="1:26" ht="15.75" customHeight="1">
      <c r="A652" s="72"/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  <c r="Z652" s="72"/>
    </row>
    <row r="653" spans="1:26" ht="15.75" customHeight="1">
      <c r="A653" s="72"/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  <c r="Z653" s="72"/>
    </row>
    <row r="654" spans="1:26" ht="15.75" customHeight="1">
      <c r="A654" s="72"/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  <c r="Z654" s="72"/>
    </row>
    <row r="655" spans="1:26" ht="15.75" customHeight="1">
      <c r="A655" s="72"/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  <c r="Z655" s="72"/>
    </row>
    <row r="656" spans="1:26" ht="15.75" customHeight="1">
      <c r="A656" s="72"/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  <c r="Z656" s="72"/>
    </row>
    <row r="657" spans="1:26" ht="15.75" customHeight="1">
      <c r="A657" s="72"/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  <c r="Z657" s="72"/>
    </row>
    <row r="658" spans="1:26" ht="15.75" customHeight="1">
      <c r="A658" s="72"/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  <c r="Z658" s="72"/>
    </row>
    <row r="659" spans="1:26" ht="15.75" customHeight="1">
      <c r="A659" s="72"/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  <c r="Z659" s="72"/>
    </row>
    <row r="660" spans="1:26" ht="15.75" customHeight="1">
      <c r="A660" s="72"/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  <c r="Z660" s="72"/>
    </row>
    <row r="661" spans="1:26" ht="15.75" customHeight="1">
      <c r="A661" s="72"/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  <c r="Z661" s="72"/>
    </row>
    <row r="662" spans="1:26" ht="15.75" customHeight="1">
      <c r="A662" s="72"/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  <c r="Z662" s="72"/>
    </row>
    <row r="663" spans="1:26" ht="15.75" customHeight="1">
      <c r="A663" s="72"/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  <c r="Z663" s="72"/>
    </row>
    <row r="664" spans="1:26" ht="15.75" customHeight="1">
      <c r="A664" s="72"/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  <c r="Z664" s="72"/>
    </row>
    <row r="665" spans="1:26" ht="15.75" customHeight="1">
      <c r="A665" s="72"/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  <c r="Z665" s="72"/>
    </row>
    <row r="666" spans="1:26" ht="15.75" customHeight="1">
      <c r="A666" s="72"/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  <c r="Z666" s="72"/>
    </row>
    <row r="667" spans="1:26" ht="15.75" customHeight="1">
      <c r="A667" s="72"/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  <c r="Z667" s="72"/>
    </row>
    <row r="668" spans="1:26" ht="15.75" customHeight="1">
      <c r="A668" s="72"/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  <c r="Z668" s="72"/>
    </row>
    <row r="669" spans="1:26" ht="15.75" customHeight="1">
      <c r="A669" s="72"/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  <c r="Z669" s="72"/>
    </row>
    <row r="670" spans="1:26" ht="15.75" customHeight="1">
      <c r="A670" s="72"/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  <c r="Z670" s="72"/>
    </row>
    <row r="671" spans="1:26" ht="15.75" customHeight="1">
      <c r="A671" s="72"/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  <c r="Z671" s="72"/>
    </row>
    <row r="672" spans="1:26" ht="15.75" customHeight="1">
      <c r="A672" s="72"/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  <c r="Z672" s="72"/>
    </row>
    <row r="673" spans="1:26" ht="15.75" customHeight="1">
      <c r="A673" s="72"/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  <c r="Z673" s="72"/>
    </row>
    <row r="674" spans="1:26" ht="15.75" customHeight="1">
      <c r="A674" s="72"/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  <c r="Z674" s="72"/>
    </row>
    <row r="675" spans="1:26" ht="15.75" customHeight="1">
      <c r="A675" s="72"/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  <c r="Z675" s="72"/>
    </row>
    <row r="676" spans="1:26" ht="15.75" customHeight="1">
      <c r="A676" s="72"/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  <c r="Z676" s="72"/>
    </row>
    <row r="677" spans="1:26" ht="15.75" customHeight="1">
      <c r="A677" s="72"/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  <c r="Z677" s="72"/>
    </row>
    <row r="678" spans="1:26" ht="15.75" customHeight="1">
      <c r="A678" s="72"/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  <c r="Z678" s="72"/>
    </row>
    <row r="679" spans="1:26" ht="15.75" customHeight="1">
      <c r="A679" s="72"/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  <c r="Z679" s="72"/>
    </row>
    <row r="680" spans="1:26" ht="15.75" customHeight="1">
      <c r="A680" s="72"/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  <c r="Z680" s="72"/>
    </row>
    <row r="681" spans="1:26" ht="15.75" customHeight="1">
      <c r="A681" s="72"/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  <c r="Z681" s="72"/>
    </row>
    <row r="682" spans="1:26" ht="15.75" customHeight="1">
      <c r="A682" s="72"/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  <c r="Z682" s="72"/>
    </row>
    <row r="683" spans="1:26" ht="15.75" customHeight="1">
      <c r="A683" s="72"/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  <c r="Z683" s="72"/>
    </row>
    <row r="684" spans="1:26" ht="15.75" customHeight="1">
      <c r="A684" s="72"/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  <c r="Z684" s="72"/>
    </row>
    <row r="685" spans="1:26" ht="15.75" customHeight="1">
      <c r="A685" s="72"/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  <c r="Z685" s="72"/>
    </row>
    <row r="686" spans="1:26" ht="15.75" customHeight="1">
      <c r="A686" s="72"/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  <c r="Z686" s="72"/>
    </row>
    <row r="687" spans="1:26" ht="15.75" customHeight="1">
      <c r="A687" s="72"/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  <c r="Z687" s="72"/>
    </row>
    <row r="688" spans="1:26" ht="15.75" customHeight="1">
      <c r="A688" s="72"/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  <c r="Z688" s="72"/>
    </row>
    <row r="689" spans="1:26" ht="15.75" customHeight="1">
      <c r="A689" s="72"/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  <c r="Z689" s="72"/>
    </row>
    <row r="690" spans="1:26" ht="15.75" customHeight="1">
      <c r="A690" s="72"/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  <c r="Z690" s="72"/>
    </row>
    <row r="691" spans="1:26" ht="15.75" customHeight="1">
      <c r="A691" s="72"/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  <c r="Z691" s="72"/>
    </row>
    <row r="692" spans="1:26" ht="15.75" customHeight="1">
      <c r="A692" s="72"/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  <c r="Z692" s="72"/>
    </row>
    <row r="693" spans="1:26" ht="15.75" customHeight="1">
      <c r="A693" s="72"/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  <c r="Z693" s="72"/>
    </row>
    <row r="694" spans="1:26" ht="15.75" customHeight="1">
      <c r="A694" s="72"/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  <c r="Z694" s="72"/>
    </row>
    <row r="695" spans="1:26" ht="15.75" customHeight="1">
      <c r="A695" s="72"/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  <c r="Z695" s="72"/>
    </row>
    <row r="696" spans="1:26" ht="15.75" customHeight="1">
      <c r="A696" s="72"/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  <c r="Z696" s="72"/>
    </row>
    <row r="697" spans="1:26" ht="15.75" customHeight="1">
      <c r="A697" s="72"/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  <c r="Z697" s="72"/>
    </row>
    <row r="698" spans="1:26" ht="15.75" customHeight="1">
      <c r="A698" s="72"/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  <c r="Z698" s="72"/>
    </row>
    <row r="699" spans="1:26" ht="15.75" customHeight="1">
      <c r="A699" s="72"/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  <c r="Z699" s="72"/>
    </row>
    <row r="700" spans="1:26" ht="15.75" customHeight="1">
      <c r="A700" s="72"/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  <c r="Z700" s="72"/>
    </row>
    <row r="701" spans="1:26" ht="15.75" customHeight="1">
      <c r="A701" s="72"/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  <c r="Z701" s="72"/>
    </row>
    <row r="702" spans="1:26" ht="15.75" customHeight="1">
      <c r="A702" s="72"/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  <c r="Z702" s="72"/>
    </row>
    <row r="703" spans="1:26" ht="15.75" customHeight="1">
      <c r="A703" s="72"/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  <c r="Z703" s="72"/>
    </row>
    <row r="704" spans="1:26" ht="15.75" customHeight="1">
      <c r="A704" s="72"/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  <c r="Z704" s="72"/>
    </row>
    <row r="705" spans="1:26" ht="15.75" customHeight="1">
      <c r="A705" s="72"/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  <c r="Z705" s="72"/>
    </row>
    <row r="706" spans="1:26" ht="15.75" customHeight="1">
      <c r="A706" s="72"/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  <c r="Z706" s="72"/>
    </row>
    <row r="707" spans="1:26" ht="15.75" customHeight="1">
      <c r="A707" s="72"/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  <c r="Z707" s="72"/>
    </row>
    <row r="708" spans="1:26" ht="15.75" customHeight="1">
      <c r="A708" s="72"/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  <c r="Z708" s="72"/>
    </row>
    <row r="709" spans="1:26" ht="15.75" customHeight="1">
      <c r="A709" s="72"/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  <c r="Z709" s="72"/>
    </row>
    <row r="710" spans="1:26" ht="15.75" customHeight="1">
      <c r="A710" s="72"/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  <c r="Z710" s="72"/>
    </row>
    <row r="711" spans="1:26" ht="15.75" customHeight="1">
      <c r="A711" s="72"/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  <c r="Z711" s="72"/>
    </row>
    <row r="712" spans="1:26" ht="15.75" customHeight="1">
      <c r="A712" s="72"/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  <c r="Z712" s="72"/>
    </row>
    <row r="713" spans="1:26" ht="15.75" customHeight="1">
      <c r="A713" s="72"/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  <c r="Z713" s="72"/>
    </row>
    <row r="714" spans="1:26" ht="15.75" customHeight="1">
      <c r="A714" s="72"/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  <c r="Z714" s="72"/>
    </row>
    <row r="715" spans="1:26" ht="15.75" customHeight="1">
      <c r="A715" s="72"/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  <c r="Z715" s="72"/>
    </row>
    <row r="716" spans="1:26" ht="15.75" customHeight="1">
      <c r="A716" s="72"/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  <c r="Z716" s="72"/>
    </row>
    <row r="717" spans="1:26" ht="15.75" customHeight="1">
      <c r="A717" s="72"/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  <c r="Z717" s="72"/>
    </row>
    <row r="718" spans="1:26" ht="15.75" customHeight="1">
      <c r="A718" s="72"/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  <c r="Z718" s="72"/>
    </row>
    <row r="719" spans="1:26" ht="15.75" customHeight="1">
      <c r="A719" s="72"/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  <c r="Z719" s="72"/>
    </row>
    <row r="720" spans="1:26" ht="15.75" customHeight="1">
      <c r="A720" s="72"/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  <c r="Z720" s="72"/>
    </row>
    <row r="721" spans="1:26" ht="15.75" customHeight="1">
      <c r="A721" s="72"/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  <c r="Z721" s="72"/>
    </row>
    <row r="722" spans="1:26" ht="15.75" customHeight="1">
      <c r="A722" s="72"/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  <c r="Z722" s="72"/>
    </row>
    <row r="723" spans="1:26" ht="15.75" customHeight="1">
      <c r="A723" s="72"/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  <c r="Z723" s="72"/>
    </row>
    <row r="724" spans="1:26" ht="15.75" customHeight="1">
      <c r="A724" s="72"/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  <c r="Z724" s="72"/>
    </row>
    <row r="725" spans="1:26" ht="15.75" customHeight="1">
      <c r="A725" s="72"/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  <c r="Z725" s="72"/>
    </row>
    <row r="726" spans="1:26" ht="15.75" customHeight="1">
      <c r="A726" s="72"/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  <c r="Z726" s="72"/>
    </row>
    <row r="727" spans="1:26" ht="15.75" customHeight="1">
      <c r="A727" s="72"/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  <c r="Z727" s="72"/>
    </row>
    <row r="728" spans="1:26" ht="15.75" customHeight="1">
      <c r="A728" s="72"/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  <c r="Z728" s="72"/>
    </row>
    <row r="729" spans="1:26" ht="15.75" customHeight="1">
      <c r="A729" s="72"/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  <c r="Z729" s="72"/>
    </row>
    <row r="730" spans="1:26" ht="15.75" customHeight="1">
      <c r="A730" s="72"/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  <c r="Z730" s="72"/>
    </row>
    <row r="731" spans="1:26" ht="15.75" customHeight="1">
      <c r="A731" s="72"/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  <c r="Z731" s="72"/>
    </row>
    <row r="732" spans="1:26" ht="15.75" customHeight="1">
      <c r="A732" s="72"/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  <c r="Z732" s="72"/>
    </row>
    <row r="733" spans="1:26" ht="15.75" customHeight="1">
      <c r="A733" s="72"/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  <c r="Z733" s="72"/>
    </row>
    <row r="734" spans="1:26" ht="15.75" customHeight="1">
      <c r="A734" s="72"/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  <c r="Z734" s="72"/>
    </row>
    <row r="735" spans="1:26" ht="15.75" customHeight="1">
      <c r="A735" s="72"/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  <c r="Z735" s="72"/>
    </row>
    <row r="736" spans="1:26" ht="15.75" customHeight="1">
      <c r="A736" s="72"/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  <c r="Z736" s="72"/>
    </row>
    <row r="737" spans="1:26" ht="15.75" customHeight="1">
      <c r="A737" s="72"/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  <c r="Z737" s="72"/>
    </row>
    <row r="738" spans="1:26" ht="15.75" customHeight="1">
      <c r="A738" s="72"/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  <c r="Z738" s="72"/>
    </row>
    <row r="739" spans="1:26" ht="15.75" customHeight="1">
      <c r="A739" s="72"/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  <c r="Z739" s="72"/>
    </row>
    <row r="740" spans="1:26" ht="15.75" customHeight="1">
      <c r="A740" s="72"/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  <c r="Z740" s="72"/>
    </row>
    <row r="741" spans="1:26" ht="15.75" customHeight="1">
      <c r="A741" s="72"/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  <c r="Z741" s="72"/>
    </row>
    <row r="742" spans="1:26" ht="15.75" customHeight="1">
      <c r="A742" s="72"/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  <c r="Z742" s="72"/>
    </row>
    <row r="743" spans="1:26" ht="15.75" customHeight="1">
      <c r="A743" s="72"/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  <c r="Z743" s="72"/>
    </row>
    <row r="744" spans="1:26" ht="15.75" customHeight="1">
      <c r="A744" s="72"/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  <c r="Z744" s="72"/>
    </row>
    <row r="745" spans="1:26" ht="15.75" customHeight="1">
      <c r="A745" s="72"/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  <c r="Z745" s="72"/>
    </row>
    <row r="746" spans="1:26" ht="15.75" customHeight="1">
      <c r="A746" s="72"/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  <c r="Z746" s="72"/>
    </row>
    <row r="747" spans="1:26" ht="15.75" customHeight="1">
      <c r="A747" s="72"/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  <c r="Z747" s="72"/>
    </row>
    <row r="748" spans="1:26" ht="15.75" customHeight="1">
      <c r="A748" s="72"/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  <c r="Z748" s="72"/>
    </row>
    <row r="749" spans="1:26" ht="15.75" customHeight="1">
      <c r="A749" s="72"/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  <c r="Z749" s="72"/>
    </row>
    <row r="750" spans="1:26" ht="15.75" customHeight="1">
      <c r="A750" s="72"/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  <c r="Z750" s="72"/>
    </row>
    <row r="751" spans="1:26" ht="15.75" customHeight="1">
      <c r="A751" s="72"/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  <c r="Z751" s="72"/>
    </row>
    <row r="752" spans="1:26" ht="15.75" customHeight="1">
      <c r="A752" s="72"/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  <c r="Z752" s="72"/>
    </row>
    <row r="753" spans="1:26" ht="15.75" customHeight="1">
      <c r="A753" s="72"/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  <c r="Z753" s="72"/>
    </row>
    <row r="754" spans="1:26" ht="15.75" customHeight="1">
      <c r="A754" s="72"/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  <c r="Z754" s="72"/>
    </row>
    <row r="755" spans="1:26" ht="15.75" customHeight="1">
      <c r="A755" s="72"/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  <c r="Z755" s="72"/>
    </row>
    <row r="756" spans="1:26" ht="15.75" customHeight="1">
      <c r="A756" s="72"/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  <c r="Z756" s="72"/>
    </row>
    <row r="757" spans="1:26" ht="15.75" customHeight="1">
      <c r="A757" s="72"/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  <c r="Z757" s="72"/>
    </row>
    <row r="758" spans="1:26" ht="15.75" customHeight="1">
      <c r="A758" s="72"/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  <c r="Z758" s="72"/>
    </row>
    <row r="759" spans="1:26" ht="15.75" customHeight="1">
      <c r="A759" s="72"/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  <c r="Z759" s="72"/>
    </row>
    <row r="760" spans="1:26" ht="15.75" customHeight="1">
      <c r="A760" s="72"/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  <c r="Z760" s="72"/>
    </row>
    <row r="761" spans="1:26" ht="15.75" customHeight="1">
      <c r="A761" s="72"/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  <c r="Z761" s="72"/>
    </row>
    <row r="762" spans="1:26" ht="15.75" customHeight="1">
      <c r="A762" s="72"/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  <c r="Z762" s="72"/>
    </row>
    <row r="763" spans="1:26" ht="15.75" customHeight="1">
      <c r="A763" s="72"/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  <c r="Z763" s="72"/>
    </row>
    <row r="764" spans="1:26" ht="15.75" customHeight="1">
      <c r="A764" s="72"/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  <c r="Z764" s="72"/>
    </row>
    <row r="765" spans="1:26" ht="15.75" customHeight="1">
      <c r="A765" s="72"/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  <c r="Z765" s="72"/>
    </row>
    <row r="766" spans="1:26" ht="15.75" customHeight="1">
      <c r="A766" s="72"/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  <c r="Z766" s="72"/>
    </row>
    <row r="767" spans="1:26" ht="15.75" customHeight="1">
      <c r="A767" s="72"/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  <c r="Z767" s="72"/>
    </row>
    <row r="768" spans="1:26" ht="15.75" customHeight="1">
      <c r="A768" s="72"/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  <c r="Z768" s="72"/>
    </row>
    <row r="769" spans="1:26" ht="15.75" customHeight="1">
      <c r="A769" s="72"/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  <c r="Z769" s="72"/>
    </row>
    <row r="770" spans="1:26" ht="15.75" customHeight="1">
      <c r="A770" s="72"/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  <c r="Z770" s="72"/>
    </row>
    <row r="771" spans="1:26" ht="15.75" customHeight="1">
      <c r="A771" s="72"/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  <c r="Z771" s="72"/>
    </row>
    <row r="772" spans="1:26" ht="15.75" customHeight="1">
      <c r="A772" s="72"/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  <c r="Z772" s="72"/>
    </row>
    <row r="773" spans="1:26" ht="15.75" customHeight="1">
      <c r="A773" s="72"/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  <c r="Z773" s="72"/>
    </row>
    <row r="774" spans="1:26" ht="15.75" customHeight="1">
      <c r="A774" s="72"/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  <c r="Z774" s="72"/>
    </row>
    <row r="775" spans="1:26" ht="15.75" customHeight="1">
      <c r="A775" s="72"/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  <c r="Z775" s="72"/>
    </row>
    <row r="776" spans="1:26" ht="15.75" customHeight="1">
      <c r="A776" s="72"/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  <c r="Z776" s="72"/>
    </row>
    <row r="777" spans="1:26" ht="15.75" customHeight="1">
      <c r="A777" s="72"/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  <c r="Z777" s="72"/>
    </row>
    <row r="778" spans="1:26" ht="15.75" customHeight="1">
      <c r="A778" s="72"/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  <c r="Z778" s="72"/>
    </row>
    <row r="779" spans="1:26" ht="15.75" customHeight="1">
      <c r="A779" s="72"/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  <c r="Z779" s="72"/>
    </row>
    <row r="780" spans="1:26" ht="15.75" customHeight="1">
      <c r="A780" s="72"/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  <c r="Z780" s="72"/>
    </row>
    <row r="781" spans="1:26" ht="15.75" customHeight="1">
      <c r="A781" s="72"/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  <c r="Z781" s="72"/>
    </row>
    <row r="782" spans="1:26" ht="15.75" customHeight="1">
      <c r="A782" s="72"/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  <c r="Z782" s="72"/>
    </row>
    <row r="783" spans="1:26" ht="15.75" customHeight="1">
      <c r="A783" s="72"/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  <c r="Z783" s="72"/>
    </row>
    <row r="784" spans="1:26" ht="15.75" customHeight="1">
      <c r="A784" s="72"/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  <c r="Z784" s="72"/>
    </row>
    <row r="785" spans="1:26" ht="15.75" customHeight="1">
      <c r="A785" s="72"/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  <c r="Z785" s="72"/>
    </row>
    <row r="786" spans="1:26" ht="15.75" customHeight="1">
      <c r="A786" s="72"/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  <c r="Z786" s="72"/>
    </row>
    <row r="787" spans="1:26" ht="15.75" customHeight="1">
      <c r="A787" s="72"/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  <c r="Z787" s="72"/>
    </row>
    <row r="788" spans="1:26" ht="15.75" customHeight="1">
      <c r="A788" s="72"/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  <c r="Z788" s="72"/>
    </row>
    <row r="789" spans="1:26" ht="15.75" customHeight="1">
      <c r="A789" s="72"/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  <c r="Z789" s="72"/>
    </row>
    <row r="790" spans="1:26" ht="15.75" customHeight="1">
      <c r="A790" s="72"/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  <c r="Z790" s="72"/>
    </row>
    <row r="791" spans="1:26" ht="15.75" customHeight="1">
      <c r="A791" s="72"/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  <c r="Z791" s="72"/>
    </row>
    <row r="792" spans="1:26" ht="15.75" customHeight="1">
      <c r="A792" s="72"/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  <c r="Z792" s="72"/>
    </row>
    <row r="793" spans="1:26" ht="15.75" customHeight="1">
      <c r="A793" s="72"/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  <c r="Z793" s="72"/>
    </row>
    <row r="794" spans="1:26" ht="15.75" customHeight="1">
      <c r="A794" s="72"/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  <c r="Z794" s="72"/>
    </row>
    <row r="795" spans="1:26" ht="15.75" customHeight="1">
      <c r="A795" s="72"/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  <c r="Z795" s="72"/>
    </row>
    <row r="796" spans="1:26" ht="15.75" customHeight="1">
      <c r="A796" s="72"/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  <c r="Z796" s="72"/>
    </row>
    <row r="797" spans="1:26" ht="15.75" customHeight="1">
      <c r="A797" s="72"/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  <c r="Z797" s="72"/>
    </row>
    <row r="798" spans="1:26" ht="15.75" customHeight="1">
      <c r="A798" s="72"/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  <c r="Z798" s="72"/>
    </row>
    <row r="799" spans="1:26" ht="15.75" customHeight="1">
      <c r="A799" s="72"/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  <c r="Z799" s="72"/>
    </row>
    <row r="800" spans="1:26" ht="15.75" customHeight="1">
      <c r="A800" s="72"/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  <c r="Z800" s="72"/>
    </row>
    <row r="801" spans="1:26" ht="15.75" customHeight="1">
      <c r="A801" s="72"/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  <c r="Z801" s="72"/>
    </row>
    <row r="802" spans="1:26" ht="15.75" customHeight="1">
      <c r="A802" s="72"/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  <c r="Z802" s="72"/>
    </row>
    <row r="803" spans="1:26" ht="15.75" customHeight="1">
      <c r="A803" s="72"/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  <c r="Z803" s="72"/>
    </row>
    <row r="804" spans="1:26" ht="15.75" customHeight="1">
      <c r="A804" s="72"/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  <c r="Z804" s="72"/>
    </row>
    <row r="805" spans="1:26" ht="15.75" customHeight="1">
      <c r="A805" s="72"/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  <c r="Z805" s="72"/>
    </row>
    <row r="806" spans="1:26" ht="15.75" customHeight="1">
      <c r="A806" s="72"/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  <c r="Z806" s="72"/>
    </row>
    <row r="807" spans="1:26" ht="15.75" customHeight="1">
      <c r="A807" s="72"/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  <c r="Z807" s="72"/>
    </row>
    <row r="808" spans="1:26" ht="15.75" customHeight="1">
      <c r="A808" s="72"/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  <c r="Z808" s="72"/>
    </row>
    <row r="809" spans="1:26" ht="15.75" customHeight="1">
      <c r="A809" s="72"/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  <c r="Z809" s="72"/>
    </row>
    <row r="810" spans="1:26" ht="15.75" customHeight="1">
      <c r="A810" s="72"/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  <c r="Z810" s="72"/>
    </row>
    <row r="811" spans="1:26" ht="15.75" customHeight="1">
      <c r="A811" s="72"/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  <c r="Z811" s="72"/>
    </row>
    <row r="812" spans="1:26" ht="15.75" customHeight="1">
      <c r="A812" s="72"/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  <c r="Z812" s="72"/>
    </row>
    <row r="813" spans="1:26" ht="15.75" customHeight="1">
      <c r="A813" s="72"/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  <c r="Z813" s="72"/>
    </row>
    <row r="814" spans="1:26" ht="15.75" customHeight="1">
      <c r="A814" s="72"/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  <c r="Z814" s="72"/>
    </row>
    <row r="815" spans="1:26" ht="15.75" customHeight="1">
      <c r="A815" s="72"/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  <c r="Z815" s="72"/>
    </row>
    <row r="816" spans="1:26" ht="15.75" customHeight="1">
      <c r="A816" s="72"/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  <c r="Z816" s="72"/>
    </row>
    <row r="817" spans="1:26" ht="15.75" customHeight="1">
      <c r="A817" s="72"/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  <c r="Z817" s="72"/>
    </row>
    <row r="818" spans="1:26" ht="15.75" customHeight="1">
      <c r="A818" s="72"/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  <c r="Z818" s="72"/>
    </row>
    <row r="819" spans="1:26" ht="15.75" customHeight="1">
      <c r="A819" s="72"/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  <c r="Z819" s="72"/>
    </row>
    <row r="820" spans="1:26" ht="15.75" customHeight="1">
      <c r="A820" s="72"/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  <c r="Z820" s="72"/>
    </row>
    <row r="821" spans="1:26" ht="15.75" customHeight="1">
      <c r="A821" s="72"/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  <c r="Z821" s="72"/>
    </row>
    <row r="822" spans="1:26" ht="15.75" customHeight="1">
      <c r="A822" s="72"/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  <c r="Z822" s="72"/>
    </row>
    <row r="823" spans="1:26" ht="15.75" customHeight="1">
      <c r="A823" s="72"/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  <c r="Z823" s="72"/>
    </row>
    <row r="824" spans="1:26" ht="15.75" customHeight="1">
      <c r="A824" s="72"/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  <c r="Z824" s="72"/>
    </row>
    <row r="825" spans="1:26" ht="15.75" customHeight="1">
      <c r="A825" s="72"/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  <c r="Z825" s="72"/>
    </row>
    <row r="826" spans="1:26" ht="15.75" customHeight="1">
      <c r="A826" s="72"/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  <c r="Z826" s="72"/>
    </row>
    <row r="827" spans="1:26" ht="15.75" customHeight="1">
      <c r="A827" s="72"/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  <c r="Z827" s="72"/>
    </row>
    <row r="828" spans="1:26" ht="15.75" customHeight="1">
      <c r="A828" s="72"/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  <c r="Z828" s="72"/>
    </row>
    <row r="829" spans="1:26" ht="15.75" customHeight="1">
      <c r="A829" s="72"/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  <c r="Z829" s="72"/>
    </row>
    <row r="830" spans="1:26" ht="15.75" customHeight="1">
      <c r="A830" s="72"/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  <c r="Z830" s="72"/>
    </row>
    <row r="831" spans="1:26" ht="15.75" customHeight="1">
      <c r="A831" s="72"/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  <c r="Z831" s="72"/>
    </row>
    <row r="832" spans="1:26" ht="15.75" customHeight="1">
      <c r="A832" s="72"/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  <c r="Z832" s="72"/>
    </row>
    <row r="833" spans="1:26" ht="15.75" customHeight="1">
      <c r="A833" s="72"/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  <c r="Z833" s="72"/>
    </row>
    <row r="834" spans="1:26" ht="15.75" customHeight="1">
      <c r="A834" s="72"/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  <c r="Z834" s="72"/>
    </row>
    <row r="835" spans="1:26" ht="15.75" customHeight="1">
      <c r="A835" s="72"/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  <c r="Z835" s="72"/>
    </row>
    <row r="836" spans="1:26" ht="15.75" customHeight="1">
      <c r="A836" s="72"/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  <c r="Z836" s="72"/>
    </row>
    <row r="837" spans="1:26" ht="15.75" customHeight="1">
      <c r="A837" s="72"/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  <c r="Z837" s="72"/>
    </row>
    <row r="838" spans="1:26" ht="15.75" customHeight="1">
      <c r="A838" s="72"/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  <c r="Z838" s="72"/>
    </row>
    <row r="839" spans="1:26" ht="15.75" customHeight="1">
      <c r="A839" s="72"/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  <c r="Z839" s="72"/>
    </row>
    <row r="840" spans="1:26" ht="15.75" customHeight="1">
      <c r="A840" s="72"/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  <c r="Z840" s="72"/>
    </row>
    <row r="841" spans="1:26" ht="15.75" customHeight="1">
      <c r="A841" s="72"/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  <c r="Z841" s="72"/>
    </row>
    <row r="842" spans="1:26" ht="15.75" customHeight="1">
      <c r="A842" s="72"/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  <c r="Z842" s="72"/>
    </row>
    <row r="843" spans="1:26" ht="15.75" customHeight="1">
      <c r="A843" s="72"/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  <c r="Z843" s="72"/>
    </row>
    <row r="844" spans="1:26" ht="15.75" customHeight="1">
      <c r="A844" s="72"/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  <c r="Z844" s="72"/>
    </row>
    <row r="845" spans="1:26" ht="15.75" customHeight="1">
      <c r="A845" s="72"/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  <c r="Z845" s="72"/>
    </row>
    <row r="846" spans="1:26" ht="15.75" customHeight="1">
      <c r="A846" s="72"/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  <c r="Z846" s="72"/>
    </row>
    <row r="847" spans="1:26" ht="15.75" customHeight="1">
      <c r="A847" s="72"/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  <c r="Z847" s="72"/>
    </row>
    <row r="848" spans="1:26" ht="15.75" customHeight="1">
      <c r="A848" s="72"/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  <c r="Z848" s="72"/>
    </row>
    <row r="849" spans="1:26" ht="15.75" customHeight="1">
      <c r="A849" s="72"/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  <c r="Z849" s="72"/>
    </row>
    <row r="850" spans="1:26" ht="15.75" customHeight="1">
      <c r="A850" s="72"/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  <c r="Z850" s="72"/>
    </row>
    <row r="851" spans="1:26" ht="15.75" customHeight="1">
      <c r="A851" s="72"/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  <c r="Z851" s="72"/>
    </row>
    <row r="852" spans="1:26" ht="15.75" customHeight="1">
      <c r="A852" s="72"/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  <c r="Z852" s="72"/>
    </row>
    <row r="853" spans="1:26" ht="15.75" customHeight="1">
      <c r="A853" s="72"/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  <c r="Z853" s="72"/>
    </row>
    <row r="854" spans="1:26" ht="15.75" customHeight="1">
      <c r="A854" s="72"/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  <c r="Z854" s="72"/>
    </row>
    <row r="855" spans="1:26" ht="15.75" customHeight="1">
      <c r="A855" s="72"/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  <c r="Z855" s="72"/>
    </row>
    <row r="856" spans="1:26" ht="15.75" customHeight="1">
      <c r="A856" s="72"/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  <c r="Z856" s="72"/>
    </row>
    <row r="857" spans="1:26" ht="15.75" customHeight="1">
      <c r="A857" s="72"/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  <c r="Z857" s="72"/>
    </row>
    <row r="858" spans="1:26" ht="15.75" customHeight="1">
      <c r="A858" s="72"/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  <c r="Z858" s="72"/>
    </row>
    <row r="859" spans="1:26" ht="15.75" customHeight="1">
      <c r="A859" s="72"/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  <c r="Z859" s="72"/>
    </row>
    <row r="860" spans="1:26" ht="15.75" customHeight="1">
      <c r="A860" s="72"/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  <c r="Z860" s="72"/>
    </row>
    <row r="861" spans="1:26" ht="15.75" customHeight="1">
      <c r="A861" s="72"/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  <c r="Z861" s="72"/>
    </row>
    <row r="862" spans="1:26" ht="15.75" customHeight="1">
      <c r="A862" s="72"/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  <c r="Z862" s="72"/>
    </row>
    <row r="863" spans="1:26" ht="15.75" customHeight="1">
      <c r="A863" s="72"/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  <c r="Z863" s="72"/>
    </row>
    <row r="864" spans="1:26" ht="15.75" customHeight="1">
      <c r="A864" s="72"/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  <c r="Z864" s="72"/>
    </row>
    <row r="865" spans="1:26" ht="15.75" customHeight="1">
      <c r="A865" s="72"/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  <c r="Z865" s="72"/>
    </row>
    <row r="866" spans="1:26" ht="15.75" customHeight="1">
      <c r="A866" s="72"/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  <c r="Z866" s="72"/>
    </row>
    <row r="867" spans="1:26" ht="15.75" customHeight="1">
      <c r="A867" s="72"/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  <c r="Z867" s="72"/>
    </row>
    <row r="868" spans="1:26" ht="15.75" customHeight="1">
      <c r="A868" s="72"/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  <c r="Z868" s="72"/>
    </row>
    <row r="869" spans="1:26" ht="15.75" customHeight="1">
      <c r="A869" s="72"/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  <c r="Z869" s="72"/>
    </row>
    <row r="870" spans="1:26" ht="15.75" customHeight="1">
      <c r="A870" s="72"/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  <c r="Z870" s="72"/>
    </row>
    <row r="871" spans="1:26" ht="15.75" customHeight="1">
      <c r="A871" s="72"/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  <c r="Z871" s="72"/>
    </row>
    <row r="872" spans="1:26" ht="15.75" customHeight="1">
      <c r="A872" s="72"/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  <c r="Z872" s="72"/>
    </row>
    <row r="873" spans="1:26" ht="15.75" customHeight="1">
      <c r="A873" s="72"/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  <c r="Z873" s="72"/>
    </row>
    <row r="874" spans="1:26" ht="15.75" customHeight="1">
      <c r="A874" s="72"/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  <c r="Z874" s="72"/>
    </row>
    <row r="875" spans="1:26" ht="15.75" customHeight="1">
      <c r="A875" s="72"/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  <c r="Z875" s="72"/>
    </row>
    <row r="876" spans="1:26" ht="15.75" customHeight="1">
      <c r="A876" s="72"/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  <c r="Z876" s="72"/>
    </row>
    <row r="877" spans="1:26" ht="15.75" customHeight="1">
      <c r="A877" s="72"/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  <c r="Z877" s="72"/>
    </row>
    <row r="878" spans="1:26" ht="15.75" customHeight="1">
      <c r="A878" s="72"/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  <c r="Z878" s="72"/>
    </row>
    <row r="879" spans="1:26" ht="15.75" customHeight="1">
      <c r="A879" s="72"/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  <c r="Z879" s="72"/>
    </row>
    <row r="880" spans="1:26" ht="15.75" customHeight="1">
      <c r="A880" s="72"/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  <c r="Z880" s="72"/>
    </row>
    <row r="881" spans="1:26" ht="15.75" customHeight="1">
      <c r="A881" s="72"/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  <c r="Z881" s="72"/>
    </row>
    <row r="882" spans="1:26" ht="15.75" customHeight="1">
      <c r="A882" s="72"/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  <c r="Z882" s="72"/>
    </row>
    <row r="883" spans="1:26" ht="15.75" customHeight="1">
      <c r="A883" s="72"/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  <c r="Z883" s="72"/>
    </row>
    <row r="884" spans="1:26" ht="15.75" customHeight="1">
      <c r="A884" s="72"/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  <c r="Z884" s="72"/>
    </row>
    <row r="885" spans="1:26" ht="15.75" customHeight="1">
      <c r="A885" s="72"/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  <c r="Z885" s="72"/>
    </row>
    <row r="886" spans="1:26" ht="15.75" customHeight="1">
      <c r="A886" s="72"/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  <c r="Z886" s="72"/>
    </row>
    <row r="887" spans="1:26" ht="15.75" customHeight="1">
      <c r="A887" s="72"/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  <c r="Z887" s="72"/>
    </row>
    <row r="888" spans="1:26" ht="15.75" customHeight="1">
      <c r="A888" s="72"/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  <c r="Z888" s="72"/>
    </row>
    <row r="889" spans="1:26" ht="15.75" customHeight="1">
      <c r="A889" s="72"/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  <c r="Z889" s="72"/>
    </row>
    <row r="890" spans="1:26" ht="15.75" customHeight="1">
      <c r="A890" s="72"/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  <c r="Z890" s="72"/>
    </row>
    <row r="891" spans="1:26" ht="15.75" customHeight="1">
      <c r="A891" s="72"/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  <c r="Z891" s="72"/>
    </row>
    <row r="892" spans="1:26" ht="15.75" customHeight="1">
      <c r="A892" s="72"/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  <c r="Z892" s="72"/>
    </row>
    <row r="893" spans="1:26" ht="15.75" customHeight="1">
      <c r="A893" s="72"/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  <c r="Z893" s="72"/>
    </row>
    <row r="894" spans="1:26" ht="15.75" customHeight="1">
      <c r="A894" s="72"/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  <c r="Z894" s="72"/>
    </row>
    <row r="895" spans="1:26" ht="15.75" customHeight="1">
      <c r="A895" s="72"/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  <c r="Z895" s="72"/>
    </row>
    <row r="896" spans="1:26" ht="15.75" customHeight="1">
      <c r="A896" s="72"/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  <c r="Z896" s="72"/>
    </row>
    <row r="897" spans="1:26" ht="15.75" customHeight="1">
      <c r="A897" s="72"/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  <c r="Z897" s="72"/>
    </row>
    <row r="898" spans="1:26" ht="15.75" customHeight="1">
      <c r="A898" s="72"/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  <c r="Z898" s="72"/>
    </row>
    <row r="899" spans="1:26" ht="15.75" customHeight="1">
      <c r="A899" s="72"/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  <c r="Z899" s="72"/>
    </row>
    <row r="900" spans="1:26" ht="15.75" customHeight="1">
      <c r="A900" s="72"/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  <c r="Z900" s="72"/>
    </row>
    <row r="901" spans="1:26" ht="15.75" customHeight="1">
      <c r="A901" s="72"/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  <c r="Z901" s="72"/>
    </row>
    <row r="902" spans="1:26" ht="15.75" customHeight="1">
      <c r="A902" s="72"/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  <c r="Z902" s="72"/>
    </row>
    <row r="903" spans="1:26" ht="15.75" customHeight="1">
      <c r="A903" s="72"/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  <c r="Z903" s="72"/>
    </row>
    <row r="904" spans="1:26" ht="15.75" customHeight="1">
      <c r="A904" s="72"/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  <c r="Z904" s="72"/>
    </row>
    <row r="905" spans="1:26" ht="15.75" customHeight="1">
      <c r="A905" s="72"/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  <c r="Z905" s="72"/>
    </row>
    <row r="906" spans="1:26" ht="15.75" customHeight="1">
      <c r="A906" s="72"/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  <c r="Z906" s="72"/>
    </row>
    <row r="907" spans="1:26" ht="15.75" customHeight="1">
      <c r="A907" s="72"/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  <c r="Z907" s="72"/>
    </row>
    <row r="908" spans="1:26" ht="15.75" customHeight="1">
      <c r="A908" s="72"/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  <c r="Z908" s="72"/>
    </row>
    <row r="909" spans="1:26" ht="15.75" customHeight="1">
      <c r="A909" s="72"/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  <c r="Z909" s="72"/>
    </row>
    <row r="910" spans="1:26" ht="15.75" customHeight="1">
      <c r="A910" s="72"/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  <c r="Z910" s="72"/>
    </row>
    <row r="911" spans="1:26" ht="15.75" customHeight="1">
      <c r="A911" s="72"/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  <c r="Z911" s="72"/>
    </row>
    <row r="912" spans="1:26" ht="15.75" customHeight="1">
      <c r="A912" s="72"/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  <c r="Z912" s="72"/>
    </row>
    <row r="913" spans="1:26" ht="15.75" customHeight="1">
      <c r="A913" s="72"/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  <c r="Z913" s="72"/>
    </row>
    <row r="914" spans="1:26" ht="15.75" customHeight="1">
      <c r="A914" s="72"/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  <c r="Z914" s="72"/>
    </row>
    <row r="915" spans="1:26" ht="15.75" customHeight="1">
      <c r="A915" s="72"/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  <c r="Z915" s="72"/>
    </row>
    <row r="916" spans="1:26" ht="15.75" customHeight="1">
      <c r="A916" s="72"/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  <c r="Z916" s="72"/>
    </row>
    <row r="917" spans="1:26" ht="15.75" customHeight="1">
      <c r="A917" s="72"/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  <c r="Z917" s="72"/>
    </row>
    <row r="918" spans="1:26" ht="15.75" customHeight="1">
      <c r="A918" s="72"/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  <c r="Z918" s="72"/>
    </row>
    <row r="919" spans="1:26" ht="15.75" customHeight="1">
      <c r="A919" s="72"/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  <c r="Z919" s="72"/>
    </row>
    <row r="920" spans="1:26" ht="15.75" customHeight="1">
      <c r="A920" s="72"/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  <c r="Z920" s="72"/>
    </row>
    <row r="921" spans="1:26" ht="15.75" customHeight="1">
      <c r="A921" s="72"/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  <c r="Z921" s="72"/>
    </row>
    <row r="922" spans="1:26" ht="15.75" customHeight="1">
      <c r="A922" s="72"/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  <c r="Z922" s="72"/>
    </row>
    <row r="923" spans="1:26" ht="15.75" customHeight="1">
      <c r="A923" s="72"/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  <c r="Z923" s="72"/>
    </row>
    <row r="924" spans="1:26" ht="15.75" customHeight="1">
      <c r="A924" s="72"/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  <c r="Z924" s="72"/>
    </row>
    <row r="925" spans="1:26" ht="15.75" customHeight="1">
      <c r="A925" s="72"/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  <c r="Z925" s="72"/>
    </row>
    <row r="926" spans="1:26" ht="15.75" customHeight="1">
      <c r="A926" s="72"/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  <c r="Z926" s="72"/>
    </row>
    <row r="927" spans="1:26" ht="15.75" customHeight="1">
      <c r="A927" s="72"/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  <c r="Z927" s="72"/>
    </row>
    <row r="928" spans="1:26" ht="15.75" customHeight="1">
      <c r="A928" s="72"/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  <c r="Z928" s="72"/>
    </row>
    <row r="929" spans="1:26" ht="15.75" customHeight="1">
      <c r="A929" s="72"/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  <c r="Z929" s="72"/>
    </row>
    <row r="930" spans="1:26" ht="15.75" customHeight="1">
      <c r="A930" s="72"/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  <c r="Z930" s="72"/>
    </row>
    <row r="931" spans="1:26" ht="15.75" customHeight="1">
      <c r="A931" s="72"/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  <c r="Z931" s="72"/>
    </row>
    <row r="932" spans="1:26" ht="15.75" customHeight="1">
      <c r="A932" s="72"/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  <c r="Z932" s="72"/>
    </row>
    <row r="933" spans="1:26" ht="15.75" customHeight="1">
      <c r="A933" s="72"/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  <c r="Z933" s="72"/>
    </row>
    <row r="934" spans="1:26" ht="15.75" customHeight="1">
      <c r="A934" s="72"/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  <c r="Z934" s="72"/>
    </row>
    <row r="935" spans="1:26" ht="15.75" customHeight="1">
      <c r="A935" s="72"/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  <c r="Z935" s="72"/>
    </row>
    <row r="936" spans="1:26" ht="15.75" customHeight="1">
      <c r="A936" s="72"/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  <c r="Z936" s="72"/>
    </row>
    <row r="937" spans="1:26" ht="15.75" customHeight="1">
      <c r="A937" s="72"/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  <c r="Z937" s="72"/>
    </row>
    <row r="938" spans="1:26" ht="15.75" customHeight="1">
      <c r="A938" s="72"/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  <c r="Z938" s="72"/>
    </row>
    <row r="939" spans="1:26" ht="15.75" customHeight="1">
      <c r="A939" s="72"/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  <c r="Z939" s="72"/>
    </row>
    <row r="940" spans="1:26" ht="15.75" customHeight="1">
      <c r="A940" s="72"/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  <c r="Z940" s="72"/>
    </row>
    <row r="941" spans="1:26" ht="15.75" customHeight="1">
      <c r="A941" s="72"/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  <c r="Z941" s="72"/>
    </row>
    <row r="942" spans="1:26" ht="15.75" customHeight="1">
      <c r="A942" s="72"/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  <c r="Z942" s="72"/>
    </row>
    <row r="943" spans="1:26" ht="15.75" customHeight="1">
      <c r="A943" s="72"/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  <c r="Z943" s="72"/>
    </row>
    <row r="944" spans="1:26" ht="15.75" customHeight="1">
      <c r="A944" s="72"/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  <c r="Z944" s="72"/>
    </row>
    <row r="945" spans="1:26" ht="15.75" customHeight="1">
      <c r="A945" s="72"/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  <c r="Z945" s="72"/>
    </row>
    <row r="946" spans="1:26" ht="15.75" customHeight="1">
      <c r="A946" s="72"/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  <c r="Z946" s="72"/>
    </row>
    <row r="947" spans="1:26" ht="15.75" customHeight="1">
      <c r="A947" s="72"/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  <c r="Z947" s="72"/>
    </row>
    <row r="948" spans="1:26" ht="15.75" customHeight="1">
      <c r="A948" s="72"/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  <c r="Z948" s="72"/>
    </row>
    <row r="949" spans="1:26" ht="15.75" customHeight="1">
      <c r="A949" s="72"/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  <c r="Z949" s="72"/>
    </row>
    <row r="950" spans="1:26" ht="15.75" customHeight="1">
      <c r="A950" s="72"/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  <c r="Z950" s="72"/>
    </row>
    <row r="951" spans="1:26" ht="15.75" customHeight="1">
      <c r="A951" s="72"/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  <c r="Z951" s="72"/>
    </row>
    <row r="952" spans="1:26" ht="15.75" customHeight="1">
      <c r="A952" s="72"/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  <c r="Z952" s="72"/>
    </row>
    <row r="953" spans="1:26" ht="15.75" customHeight="1">
      <c r="A953" s="72"/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  <c r="Z953" s="72"/>
    </row>
    <row r="954" spans="1:26" ht="15.75" customHeight="1">
      <c r="A954" s="72"/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  <c r="Z954" s="72"/>
    </row>
    <row r="955" spans="1:26" ht="15.75" customHeight="1">
      <c r="A955" s="72"/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  <c r="Z955" s="72"/>
    </row>
    <row r="956" spans="1:26" ht="15.75" customHeight="1">
      <c r="A956" s="72"/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  <c r="Z956" s="72"/>
    </row>
    <row r="957" spans="1:26" ht="15.75" customHeight="1">
      <c r="A957" s="72"/>
      <c r="B957" s="72"/>
      <c r="C957" s="72"/>
      <c r="D957" s="72"/>
      <c r="E957" s="72"/>
      <c r="F957" s="72"/>
      <c r="G957" s="72"/>
      <c r="H957" s="72"/>
      <c r="I957" s="72"/>
      <c r="J957" s="72"/>
      <c r="K957" s="72"/>
      <c r="L957" s="72"/>
      <c r="M957" s="72"/>
      <c r="N957" s="72"/>
      <c r="O957" s="72"/>
      <c r="P957" s="72"/>
      <c r="Q957" s="72"/>
      <c r="R957" s="72"/>
      <c r="S957" s="72"/>
      <c r="T957" s="72"/>
      <c r="U957" s="72"/>
      <c r="V957" s="72"/>
      <c r="W957" s="72"/>
      <c r="X957" s="72"/>
      <c r="Y957" s="72"/>
      <c r="Z957" s="72"/>
    </row>
    <row r="958" spans="1:26" ht="15.75" customHeight="1">
      <c r="A958" s="72"/>
      <c r="B958" s="72"/>
      <c r="C958" s="72"/>
      <c r="D958" s="72"/>
      <c r="E958" s="72"/>
      <c r="F958" s="72"/>
      <c r="G958" s="72"/>
      <c r="H958" s="72"/>
      <c r="I958" s="72"/>
      <c r="J958" s="72"/>
      <c r="K958" s="72"/>
      <c r="L958" s="72"/>
      <c r="M958" s="72"/>
      <c r="N958" s="72"/>
      <c r="O958" s="72"/>
      <c r="P958" s="72"/>
      <c r="Q958" s="72"/>
      <c r="R958" s="72"/>
      <c r="S958" s="72"/>
      <c r="T958" s="72"/>
      <c r="U958" s="72"/>
      <c r="V958" s="72"/>
      <c r="W958" s="72"/>
      <c r="X958" s="72"/>
      <c r="Y958" s="72"/>
      <c r="Z958" s="72"/>
    </row>
    <row r="959" spans="1:26" ht="15.75" customHeight="1">
      <c r="A959" s="72"/>
      <c r="B959" s="72"/>
      <c r="C959" s="72"/>
      <c r="D959" s="72"/>
      <c r="E959" s="72"/>
      <c r="F959" s="72"/>
      <c r="G959" s="72"/>
      <c r="H959" s="72"/>
      <c r="I959" s="72"/>
      <c r="J959" s="72"/>
      <c r="K959" s="72"/>
      <c r="L959" s="72"/>
      <c r="M959" s="72"/>
      <c r="N959" s="72"/>
      <c r="O959" s="72"/>
      <c r="P959" s="72"/>
      <c r="Q959" s="72"/>
      <c r="R959" s="72"/>
      <c r="S959" s="72"/>
      <c r="T959" s="72"/>
      <c r="U959" s="72"/>
      <c r="V959" s="72"/>
      <c r="W959" s="72"/>
      <c r="X959" s="72"/>
      <c r="Y959" s="72"/>
      <c r="Z959" s="72"/>
    </row>
    <row r="960" spans="1:26" ht="15.75" customHeight="1">
      <c r="A960" s="72"/>
      <c r="B960" s="72"/>
      <c r="C960" s="72"/>
      <c r="D960" s="72"/>
      <c r="E960" s="72"/>
      <c r="F960" s="72"/>
      <c r="G960" s="72"/>
      <c r="H960" s="72"/>
      <c r="I960" s="72"/>
      <c r="J960" s="72"/>
      <c r="K960" s="72"/>
      <c r="L960" s="72"/>
      <c r="M960" s="72"/>
      <c r="N960" s="72"/>
      <c r="O960" s="72"/>
      <c r="P960" s="72"/>
      <c r="Q960" s="72"/>
      <c r="R960" s="72"/>
      <c r="S960" s="72"/>
      <c r="T960" s="72"/>
      <c r="U960" s="72"/>
      <c r="V960" s="72"/>
      <c r="W960" s="72"/>
      <c r="X960" s="72"/>
      <c r="Y960" s="72"/>
      <c r="Z960" s="72"/>
    </row>
    <row r="961" spans="1:26" ht="15.75" customHeight="1">
      <c r="A961" s="72"/>
      <c r="B961" s="72"/>
      <c r="C961" s="72"/>
      <c r="D961" s="72"/>
      <c r="E961" s="72"/>
      <c r="F961" s="72"/>
      <c r="G961" s="72"/>
      <c r="H961" s="72"/>
      <c r="I961" s="72"/>
      <c r="J961" s="72"/>
      <c r="K961" s="72"/>
      <c r="L961" s="72"/>
      <c r="M961" s="72"/>
      <c r="N961" s="72"/>
      <c r="O961" s="72"/>
      <c r="P961" s="72"/>
      <c r="Q961" s="72"/>
      <c r="R961" s="72"/>
      <c r="S961" s="72"/>
      <c r="T961" s="72"/>
      <c r="U961" s="72"/>
      <c r="V961" s="72"/>
      <c r="W961" s="72"/>
      <c r="X961" s="72"/>
      <c r="Y961" s="72"/>
      <c r="Z961" s="72"/>
    </row>
    <row r="962" spans="1:26" ht="15.75" customHeight="1">
      <c r="A962" s="72"/>
      <c r="B962" s="72"/>
      <c r="C962" s="72"/>
      <c r="D962" s="72"/>
      <c r="E962" s="72"/>
      <c r="F962" s="72"/>
      <c r="G962" s="72"/>
      <c r="H962" s="72"/>
      <c r="I962" s="72"/>
      <c r="J962" s="72"/>
      <c r="K962" s="72"/>
      <c r="L962" s="72"/>
      <c r="M962" s="72"/>
      <c r="N962" s="72"/>
      <c r="O962" s="72"/>
      <c r="P962" s="72"/>
      <c r="Q962" s="72"/>
      <c r="R962" s="72"/>
      <c r="S962" s="72"/>
      <c r="T962" s="72"/>
      <c r="U962" s="72"/>
      <c r="V962" s="72"/>
      <c r="W962" s="72"/>
      <c r="X962" s="72"/>
      <c r="Y962" s="72"/>
      <c r="Z962" s="72"/>
    </row>
    <row r="963" spans="1:26" ht="15.75" customHeight="1">
      <c r="A963" s="72"/>
      <c r="B963" s="72"/>
      <c r="C963" s="72"/>
      <c r="D963" s="72"/>
      <c r="E963" s="72"/>
      <c r="F963" s="72"/>
      <c r="G963" s="72"/>
      <c r="H963" s="72"/>
      <c r="I963" s="72"/>
      <c r="J963" s="72"/>
      <c r="K963" s="72"/>
      <c r="L963" s="72"/>
      <c r="M963" s="72"/>
      <c r="N963" s="72"/>
      <c r="O963" s="72"/>
      <c r="P963" s="72"/>
      <c r="Q963" s="72"/>
      <c r="R963" s="72"/>
      <c r="S963" s="72"/>
      <c r="T963" s="72"/>
      <c r="U963" s="72"/>
      <c r="V963" s="72"/>
      <c r="W963" s="72"/>
      <c r="X963" s="72"/>
      <c r="Y963" s="72"/>
      <c r="Z963" s="72"/>
    </row>
    <row r="964" spans="1:26" ht="15.75" customHeight="1">
      <c r="A964" s="72"/>
      <c r="B964" s="72"/>
      <c r="C964" s="72"/>
      <c r="D964" s="72"/>
      <c r="E964" s="72"/>
      <c r="F964" s="72"/>
      <c r="G964" s="72"/>
      <c r="H964" s="72"/>
      <c r="I964" s="72"/>
      <c r="J964" s="72"/>
      <c r="K964" s="72"/>
      <c r="L964" s="72"/>
      <c r="M964" s="72"/>
      <c r="N964" s="72"/>
      <c r="O964" s="72"/>
      <c r="P964" s="72"/>
      <c r="Q964" s="72"/>
      <c r="R964" s="72"/>
      <c r="S964" s="72"/>
      <c r="T964" s="72"/>
      <c r="U964" s="72"/>
      <c r="V964" s="72"/>
      <c r="W964" s="72"/>
      <c r="X964" s="72"/>
      <c r="Y964" s="72"/>
      <c r="Z964" s="72"/>
    </row>
    <row r="965" spans="1:26" ht="15.75" customHeight="1">
      <c r="A965" s="72"/>
      <c r="B965" s="72"/>
      <c r="C965" s="72"/>
      <c r="D965" s="72"/>
      <c r="E965" s="72"/>
      <c r="F965" s="72"/>
      <c r="G965" s="72"/>
      <c r="H965" s="72"/>
      <c r="I965" s="72"/>
      <c r="J965" s="72"/>
      <c r="K965" s="72"/>
      <c r="L965" s="72"/>
      <c r="M965" s="72"/>
      <c r="N965" s="72"/>
      <c r="O965" s="72"/>
      <c r="P965" s="72"/>
      <c r="Q965" s="72"/>
      <c r="R965" s="72"/>
      <c r="S965" s="72"/>
      <c r="T965" s="72"/>
      <c r="U965" s="72"/>
      <c r="V965" s="72"/>
      <c r="W965" s="72"/>
      <c r="X965" s="72"/>
      <c r="Y965" s="72"/>
      <c r="Z965" s="72"/>
    </row>
    <row r="966" spans="1:26" ht="15.75" customHeight="1">
      <c r="A966" s="72"/>
      <c r="B966" s="72"/>
      <c r="C966" s="72"/>
      <c r="D966" s="72"/>
      <c r="E966" s="72"/>
      <c r="F966" s="72"/>
      <c r="G966" s="72"/>
      <c r="H966" s="72"/>
      <c r="I966" s="72"/>
      <c r="J966" s="72"/>
      <c r="K966" s="72"/>
      <c r="L966" s="72"/>
      <c r="M966" s="72"/>
      <c r="N966" s="72"/>
      <c r="O966" s="72"/>
      <c r="P966" s="72"/>
      <c r="Q966" s="72"/>
      <c r="R966" s="72"/>
      <c r="S966" s="72"/>
      <c r="T966" s="72"/>
      <c r="U966" s="72"/>
      <c r="V966" s="72"/>
      <c r="W966" s="72"/>
      <c r="X966" s="72"/>
      <c r="Y966" s="72"/>
      <c r="Z966" s="72"/>
    </row>
    <row r="967" spans="1:26" ht="15.75" customHeight="1">
      <c r="A967" s="72"/>
      <c r="B967" s="72"/>
      <c r="C967" s="72"/>
      <c r="D967" s="72"/>
      <c r="E967" s="72"/>
      <c r="F967" s="72"/>
      <c r="G967" s="72"/>
      <c r="H967" s="72"/>
      <c r="I967" s="72"/>
      <c r="J967" s="72"/>
      <c r="K967" s="72"/>
      <c r="L967" s="72"/>
      <c r="M967" s="72"/>
      <c r="N967" s="72"/>
      <c r="O967" s="72"/>
      <c r="P967" s="72"/>
      <c r="Q967" s="72"/>
      <c r="R967" s="72"/>
      <c r="S967" s="72"/>
      <c r="T967" s="72"/>
      <c r="U967" s="72"/>
      <c r="V967" s="72"/>
      <c r="W967" s="72"/>
      <c r="X967" s="72"/>
      <c r="Y967" s="72"/>
      <c r="Z967" s="72"/>
    </row>
    <row r="968" spans="1:26" ht="15.75" customHeight="1">
      <c r="A968" s="72"/>
      <c r="B968" s="72"/>
      <c r="C968" s="72"/>
      <c r="D968" s="72"/>
      <c r="E968" s="72"/>
      <c r="F968" s="72"/>
      <c r="G968" s="72"/>
      <c r="H968" s="72"/>
      <c r="I968" s="72"/>
      <c r="J968" s="72"/>
      <c r="K968" s="72"/>
      <c r="L968" s="72"/>
      <c r="M968" s="72"/>
      <c r="N968" s="72"/>
      <c r="O968" s="72"/>
      <c r="P968" s="72"/>
      <c r="Q968" s="72"/>
      <c r="R968" s="72"/>
      <c r="S968" s="72"/>
      <c r="T968" s="72"/>
      <c r="U968" s="72"/>
      <c r="V968" s="72"/>
      <c r="W968" s="72"/>
      <c r="X968" s="72"/>
      <c r="Y968" s="72"/>
      <c r="Z968" s="72"/>
    </row>
    <row r="969" spans="1:26" ht="15.75" customHeight="1">
      <c r="A969" s="72"/>
      <c r="B969" s="72"/>
      <c r="C969" s="72"/>
      <c r="D969" s="72"/>
      <c r="E969" s="72"/>
      <c r="F969" s="72"/>
      <c r="G969" s="72"/>
      <c r="H969" s="72"/>
      <c r="I969" s="72"/>
      <c r="J969" s="72"/>
      <c r="K969" s="72"/>
      <c r="L969" s="72"/>
      <c r="M969" s="72"/>
      <c r="N969" s="72"/>
      <c r="O969" s="72"/>
      <c r="P969" s="72"/>
      <c r="Q969" s="72"/>
      <c r="R969" s="72"/>
      <c r="S969" s="72"/>
      <c r="T969" s="72"/>
      <c r="U969" s="72"/>
      <c r="V969" s="72"/>
      <c r="W969" s="72"/>
      <c r="X969" s="72"/>
      <c r="Y969" s="72"/>
      <c r="Z969" s="72"/>
    </row>
    <row r="970" spans="1:26" ht="15.75" customHeight="1">
      <c r="A970" s="72"/>
      <c r="B970" s="72"/>
      <c r="C970" s="72"/>
      <c r="D970" s="72"/>
      <c r="E970" s="72"/>
      <c r="F970" s="72"/>
      <c r="G970" s="72"/>
      <c r="H970" s="72"/>
      <c r="I970" s="72"/>
      <c r="J970" s="72"/>
      <c r="K970" s="72"/>
      <c r="L970" s="72"/>
      <c r="M970" s="72"/>
      <c r="N970" s="72"/>
      <c r="O970" s="72"/>
      <c r="P970" s="72"/>
      <c r="Q970" s="72"/>
      <c r="R970" s="72"/>
      <c r="S970" s="72"/>
      <c r="T970" s="72"/>
      <c r="U970" s="72"/>
      <c r="V970" s="72"/>
      <c r="W970" s="72"/>
      <c r="X970" s="72"/>
      <c r="Y970" s="72"/>
      <c r="Z970" s="72"/>
    </row>
    <row r="971" spans="1:26" ht="15.75" customHeight="1">
      <c r="A971" s="72"/>
      <c r="B971" s="72"/>
      <c r="C971" s="72"/>
      <c r="D971" s="72"/>
      <c r="E971" s="72"/>
      <c r="F971" s="72"/>
      <c r="G971" s="72"/>
      <c r="H971" s="72"/>
      <c r="I971" s="72"/>
      <c r="J971" s="72"/>
      <c r="K971" s="72"/>
      <c r="L971" s="72"/>
      <c r="M971" s="72"/>
      <c r="N971" s="72"/>
      <c r="O971" s="72"/>
      <c r="P971" s="72"/>
      <c r="Q971" s="72"/>
      <c r="R971" s="72"/>
      <c r="S971" s="72"/>
      <c r="T971" s="72"/>
      <c r="U971" s="72"/>
      <c r="V971" s="72"/>
      <c r="W971" s="72"/>
      <c r="X971" s="72"/>
      <c r="Y971" s="72"/>
      <c r="Z971" s="72"/>
    </row>
    <row r="972" spans="1:26" ht="15.75" customHeight="1">
      <c r="A972" s="72"/>
      <c r="B972" s="72"/>
      <c r="C972" s="72"/>
      <c r="D972" s="72"/>
      <c r="E972" s="72"/>
      <c r="F972" s="72"/>
      <c r="G972" s="72"/>
      <c r="H972" s="72"/>
      <c r="I972" s="72"/>
      <c r="J972" s="72"/>
      <c r="K972" s="72"/>
      <c r="L972" s="72"/>
      <c r="M972" s="72"/>
      <c r="N972" s="72"/>
      <c r="O972" s="72"/>
      <c r="P972" s="72"/>
      <c r="Q972" s="72"/>
      <c r="R972" s="72"/>
      <c r="S972" s="72"/>
      <c r="T972" s="72"/>
      <c r="U972" s="72"/>
      <c r="V972" s="72"/>
      <c r="W972" s="72"/>
      <c r="X972" s="72"/>
      <c r="Y972" s="72"/>
      <c r="Z972" s="72"/>
    </row>
    <row r="973" spans="1:26" ht="15.75" customHeight="1">
      <c r="A973" s="72"/>
      <c r="B973" s="72"/>
      <c r="C973" s="72"/>
      <c r="D973" s="72"/>
      <c r="E973" s="72"/>
      <c r="F973" s="72"/>
      <c r="G973" s="72"/>
      <c r="H973" s="72"/>
      <c r="I973" s="72"/>
      <c r="J973" s="72"/>
      <c r="K973" s="72"/>
      <c r="L973" s="72"/>
      <c r="M973" s="72"/>
      <c r="N973" s="72"/>
      <c r="O973" s="72"/>
      <c r="P973" s="72"/>
      <c r="Q973" s="72"/>
      <c r="R973" s="72"/>
      <c r="S973" s="72"/>
      <c r="T973" s="72"/>
      <c r="U973" s="72"/>
      <c r="V973" s="72"/>
      <c r="W973" s="72"/>
      <c r="X973" s="72"/>
      <c r="Y973" s="72"/>
      <c r="Z973" s="72"/>
    </row>
    <row r="974" spans="1:26" ht="15.75" customHeight="1">
      <c r="A974" s="72"/>
      <c r="B974" s="72"/>
      <c r="C974" s="72"/>
      <c r="D974" s="72"/>
      <c r="E974" s="72"/>
      <c r="F974" s="72"/>
      <c r="G974" s="72"/>
      <c r="H974" s="72"/>
      <c r="I974" s="72"/>
      <c r="J974" s="72"/>
      <c r="K974" s="72"/>
      <c r="L974" s="72"/>
      <c r="M974" s="72"/>
      <c r="N974" s="72"/>
      <c r="O974" s="72"/>
      <c r="P974" s="72"/>
      <c r="Q974" s="72"/>
      <c r="R974" s="72"/>
      <c r="S974" s="72"/>
      <c r="T974" s="72"/>
      <c r="U974" s="72"/>
      <c r="V974" s="72"/>
      <c r="W974" s="72"/>
      <c r="X974" s="72"/>
      <c r="Y974" s="72"/>
      <c r="Z974" s="72"/>
    </row>
    <row r="975" spans="1:26" ht="15.75" customHeight="1">
      <c r="A975" s="72"/>
      <c r="B975" s="72"/>
      <c r="C975" s="72"/>
      <c r="D975" s="72"/>
      <c r="E975" s="72"/>
      <c r="F975" s="72"/>
      <c r="G975" s="72"/>
      <c r="H975" s="72"/>
      <c r="I975" s="72"/>
      <c r="J975" s="72"/>
      <c r="K975" s="72"/>
      <c r="L975" s="72"/>
      <c r="M975" s="72"/>
      <c r="N975" s="72"/>
      <c r="O975" s="72"/>
      <c r="P975" s="72"/>
      <c r="Q975" s="72"/>
      <c r="R975" s="72"/>
      <c r="S975" s="72"/>
      <c r="T975" s="72"/>
      <c r="U975" s="72"/>
      <c r="V975" s="72"/>
      <c r="W975" s="72"/>
      <c r="X975" s="72"/>
      <c r="Y975" s="72"/>
      <c r="Z975" s="72"/>
    </row>
    <row r="976" spans="1:26" ht="15.75" customHeight="1">
      <c r="A976" s="72"/>
      <c r="B976" s="72"/>
      <c r="C976" s="72"/>
      <c r="D976" s="72"/>
      <c r="E976" s="72"/>
      <c r="F976" s="72"/>
      <c r="G976" s="72"/>
      <c r="H976" s="72"/>
      <c r="I976" s="72"/>
      <c r="J976" s="72"/>
      <c r="K976" s="72"/>
      <c r="L976" s="72"/>
      <c r="M976" s="72"/>
      <c r="N976" s="72"/>
      <c r="O976" s="72"/>
      <c r="P976" s="72"/>
      <c r="Q976" s="72"/>
      <c r="R976" s="72"/>
      <c r="S976" s="72"/>
      <c r="T976" s="72"/>
      <c r="U976" s="72"/>
      <c r="V976" s="72"/>
      <c r="W976" s="72"/>
      <c r="X976" s="72"/>
      <c r="Y976" s="72"/>
      <c r="Z976" s="72"/>
    </row>
    <row r="977" spans="1:26" ht="15.75" customHeight="1">
      <c r="A977" s="72"/>
      <c r="B977" s="72"/>
      <c r="C977" s="72"/>
      <c r="D977" s="72"/>
      <c r="E977" s="72"/>
      <c r="F977" s="72"/>
      <c r="G977" s="72"/>
      <c r="H977" s="72"/>
      <c r="I977" s="72"/>
      <c r="J977" s="72"/>
      <c r="K977" s="72"/>
      <c r="L977" s="72"/>
      <c r="M977" s="72"/>
      <c r="N977" s="72"/>
      <c r="O977" s="72"/>
      <c r="P977" s="72"/>
      <c r="Q977" s="72"/>
      <c r="R977" s="72"/>
      <c r="S977" s="72"/>
      <c r="T977" s="72"/>
      <c r="U977" s="72"/>
      <c r="V977" s="72"/>
      <c r="W977" s="72"/>
      <c r="X977" s="72"/>
      <c r="Y977" s="72"/>
      <c r="Z977" s="72"/>
    </row>
    <row r="978" spans="1:26" ht="15.75" customHeight="1">
      <c r="A978" s="72"/>
      <c r="B978" s="72"/>
      <c r="C978" s="72"/>
      <c r="D978" s="72"/>
      <c r="E978" s="72"/>
      <c r="F978" s="72"/>
      <c r="G978" s="72"/>
      <c r="H978" s="72"/>
      <c r="I978" s="72"/>
      <c r="J978" s="72"/>
      <c r="K978" s="72"/>
      <c r="L978" s="72"/>
      <c r="M978" s="72"/>
      <c r="N978" s="72"/>
      <c r="O978" s="72"/>
      <c r="P978" s="72"/>
      <c r="Q978" s="72"/>
      <c r="R978" s="72"/>
      <c r="S978" s="72"/>
      <c r="T978" s="72"/>
      <c r="U978" s="72"/>
      <c r="V978" s="72"/>
      <c r="W978" s="72"/>
      <c r="X978" s="72"/>
      <c r="Y978" s="72"/>
      <c r="Z978" s="72"/>
    </row>
    <row r="979" spans="1:26" ht="15.75" customHeight="1">
      <c r="A979" s="72"/>
      <c r="B979" s="72"/>
      <c r="C979" s="72"/>
      <c r="D979" s="72"/>
      <c r="E979" s="72"/>
      <c r="F979" s="72"/>
      <c r="G979" s="72"/>
      <c r="H979" s="72"/>
      <c r="I979" s="72"/>
      <c r="J979" s="72"/>
      <c r="K979" s="72"/>
      <c r="L979" s="72"/>
      <c r="M979" s="72"/>
      <c r="N979" s="72"/>
      <c r="O979" s="72"/>
      <c r="P979" s="72"/>
      <c r="Q979" s="72"/>
      <c r="R979" s="72"/>
      <c r="S979" s="72"/>
      <c r="T979" s="72"/>
      <c r="U979" s="72"/>
      <c r="V979" s="72"/>
      <c r="W979" s="72"/>
      <c r="X979" s="72"/>
      <c r="Y979" s="72"/>
      <c r="Z979" s="72"/>
    </row>
    <row r="980" spans="1:26" ht="15.75" customHeight="1">
      <c r="A980" s="72"/>
      <c r="B980" s="72"/>
      <c r="C980" s="72"/>
      <c r="D980" s="72"/>
      <c r="E980" s="72"/>
      <c r="F980" s="72"/>
      <c r="G980" s="72"/>
      <c r="H980" s="72"/>
      <c r="I980" s="72"/>
      <c r="J980" s="72"/>
      <c r="K980" s="72"/>
      <c r="L980" s="72"/>
      <c r="M980" s="72"/>
      <c r="N980" s="72"/>
      <c r="O980" s="72"/>
      <c r="P980" s="72"/>
      <c r="Q980" s="72"/>
      <c r="R980" s="72"/>
      <c r="S980" s="72"/>
      <c r="T980" s="72"/>
      <c r="U980" s="72"/>
      <c r="V980" s="72"/>
      <c r="W980" s="72"/>
      <c r="X980" s="72"/>
      <c r="Y980" s="72"/>
      <c r="Z980" s="72"/>
    </row>
    <row r="981" spans="1:26" ht="15.75" customHeight="1">
      <c r="A981" s="72"/>
      <c r="B981" s="72"/>
      <c r="C981" s="72"/>
      <c r="D981" s="72"/>
      <c r="E981" s="72"/>
      <c r="F981" s="72"/>
      <c r="G981" s="72"/>
      <c r="H981" s="72"/>
      <c r="I981" s="72"/>
      <c r="J981" s="72"/>
      <c r="K981" s="72"/>
      <c r="L981" s="72"/>
      <c r="M981" s="72"/>
      <c r="N981" s="72"/>
      <c r="O981" s="72"/>
      <c r="P981" s="72"/>
      <c r="Q981" s="72"/>
      <c r="R981" s="72"/>
      <c r="S981" s="72"/>
      <c r="T981" s="72"/>
      <c r="U981" s="72"/>
      <c r="V981" s="72"/>
      <c r="W981" s="72"/>
      <c r="X981" s="72"/>
      <c r="Y981" s="72"/>
      <c r="Z981" s="72"/>
    </row>
    <row r="982" spans="1:26" ht="15.75" customHeight="1">
      <c r="A982" s="72"/>
      <c r="B982" s="72"/>
      <c r="C982" s="72"/>
      <c r="D982" s="72"/>
      <c r="E982" s="72"/>
      <c r="F982" s="72"/>
      <c r="G982" s="72"/>
      <c r="H982" s="72"/>
      <c r="I982" s="72"/>
      <c r="J982" s="72"/>
      <c r="K982" s="72"/>
      <c r="L982" s="72"/>
      <c r="M982" s="72"/>
      <c r="N982" s="72"/>
      <c r="O982" s="72"/>
      <c r="P982" s="72"/>
      <c r="Q982" s="72"/>
      <c r="R982" s="72"/>
      <c r="S982" s="72"/>
      <c r="T982" s="72"/>
      <c r="U982" s="72"/>
      <c r="V982" s="72"/>
      <c r="W982" s="72"/>
      <c r="X982" s="72"/>
      <c r="Y982" s="72"/>
      <c r="Z982" s="72"/>
    </row>
    <row r="983" spans="1:26" ht="15.75" customHeight="1">
      <c r="A983" s="72"/>
      <c r="B983" s="72"/>
      <c r="C983" s="72"/>
      <c r="D983" s="72"/>
      <c r="E983" s="72"/>
      <c r="F983" s="72"/>
      <c r="G983" s="72"/>
      <c r="H983" s="72"/>
      <c r="I983" s="72"/>
      <c r="J983" s="72"/>
      <c r="K983" s="72"/>
      <c r="L983" s="72"/>
      <c r="M983" s="72"/>
      <c r="N983" s="72"/>
      <c r="O983" s="72"/>
      <c r="P983" s="72"/>
      <c r="Q983" s="72"/>
      <c r="R983" s="72"/>
      <c r="S983" s="72"/>
      <c r="T983" s="72"/>
      <c r="U983" s="72"/>
      <c r="V983" s="72"/>
      <c r="W983" s="72"/>
      <c r="X983" s="72"/>
      <c r="Y983" s="72"/>
      <c r="Z983" s="72"/>
    </row>
    <row r="984" spans="1:26" ht="15.75" customHeight="1">
      <c r="A984" s="72"/>
      <c r="B984" s="72"/>
      <c r="C984" s="72"/>
      <c r="D984" s="72"/>
      <c r="E984" s="72"/>
      <c r="F984" s="72"/>
      <c r="G984" s="72"/>
      <c r="H984" s="72"/>
      <c r="I984" s="72"/>
      <c r="J984" s="72"/>
      <c r="K984" s="72"/>
      <c r="L984" s="72"/>
      <c r="M984" s="72"/>
      <c r="N984" s="72"/>
      <c r="O984" s="72"/>
      <c r="P984" s="72"/>
      <c r="Q984" s="72"/>
      <c r="R984" s="72"/>
      <c r="S984" s="72"/>
      <c r="T984" s="72"/>
      <c r="U984" s="72"/>
      <c r="V984" s="72"/>
      <c r="W984" s="72"/>
      <c r="X984" s="72"/>
      <c r="Y984" s="72"/>
      <c r="Z984" s="72"/>
    </row>
    <row r="985" spans="1:26" ht="15.75" customHeight="1">
      <c r="A985" s="72"/>
      <c r="B985" s="72"/>
      <c r="C985" s="72"/>
      <c r="D985" s="72"/>
      <c r="E985" s="72"/>
      <c r="F985" s="72"/>
      <c r="G985" s="72"/>
      <c r="H985" s="72"/>
      <c r="I985" s="72"/>
      <c r="J985" s="72"/>
      <c r="K985" s="72"/>
      <c r="L985" s="72"/>
      <c r="M985" s="72"/>
      <c r="N985" s="72"/>
      <c r="O985" s="72"/>
      <c r="P985" s="72"/>
      <c r="Q985" s="72"/>
      <c r="R985" s="72"/>
      <c r="S985" s="72"/>
      <c r="T985" s="72"/>
      <c r="U985" s="72"/>
      <c r="V985" s="72"/>
      <c r="W985" s="72"/>
      <c r="X985" s="72"/>
      <c r="Y985" s="72"/>
      <c r="Z985" s="72"/>
    </row>
    <row r="986" spans="1:26" ht="15.75" customHeight="1">
      <c r="A986" s="72"/>
      <c r="B986" s="72"/>
      <c r="C986" s="72"/>
      <c r="D986" s="72"/>
      <c r="E986" s="72"/>
      <c r="F986" s="72"/>
      <c r="G986" s="72"/>
      <c r="H986" s="72"/>
      <c r="I986" s="72"/>
      <c r="J986" s="72"/>
      <c r="K986" s="72"/>
      <c r="L986" s="72"/>
      <c r="M986" s="72"/>
      <c r="N986" s="72"/>
      <c r="O986" s="72"/>
      <c r="P986" s="72"/>
      <c r="Q986" s="72"/>
      <c r="R986" s="72"/>
      <c r="S986" s="72"/>
      <c r="T986" s="72"/>
      <c r="U986" s="72"/>
      <c r="V986" s="72"/>
      <c r="W986" s="72"/>
      <c r="X986" s="72"/>
      <c r="Y986" s="72"/>
      <c r="Z986" s="72"/>
    </row>
    <row r="987" spans="1:26" ht="15.75" customHeight="1">
      <c r="A987" s="72"/>
      <c r="B987" s="72"/>
      <c r="C987" s="72"/>
      <c r="D987" s="72"/>
      <c r="E987" s="72"/>
      <c r="F987" s="72"/>
      <c r="G987" s="72"/>
      <c r="H987" s="72"/>
      <c r="I987" s="72"/>
      <c r="J987" s="72"/>
      <c r="K987" s="72"/>
      <c r="L987" s="72"/>
      <c r="M987" s="72"/>
      <c r="N987" s="72"/>
      <c r="O987" s="72"/>
      <c r="P987" s="72"/>
      <c r="Q987" s="72"/>
      <c r="R987" s="72"/>
      <c r="S987" s="72"/>
      <c r="T987" s="72"/>
      <c r="U987" s="72"/>
      <c r="V987" s="72"/>
      <c r="W987" s="72"/>
      <c r="X987" s="72"/>
      <c r="Y987" s="72"/>
      <c r="Z987" s="72"/>
    </row>
    <row r="988" spans="1:26" ht="15.75" customHeight="1">
      <c r="A988" s="72"/>
      <c r="B988" s="72"/>
      <c r="C988" s="72"/>
      <c r="D988" s="72"/>
      <c r="E988" s="72"/>
      <c r="F988" s="72"/>
      <c r="G988" s="72"/>
      <c r="H988" s="72"/>
      <c r="I988" s="72"/>
      <c r="J988" s="72"/>
      <c r="K988" s="72"/>
      <c r="L988" s="72"/>
      <c r="M988" s="72"/>
      <c r="N988" s="72"/>
      <c r="O988" s="72"/>
      <c r="P988" s="72"/>
      <c r="Q988" s="72"/>
      <c r="R988" s="72"/>
      <c r="S988" s="72"/>
      <c r="T988" s="72"/>
      <c r="U988" s="72"/>
      <c r="V988" s="72"/>
      <c r="W988" s="72"/>
      <c r="X988" s="72"/>
      <c r="Y988" s="72"/>
      <c r="Z988" s="72"/>
    </row>
    <row r="989" spans="1:26" ht="15.75" customHeight="1">
      <c r="A989" s="72"/>
      <c r="B989" s="72"/>
      <c r="C989" s="72"/>
      <c r="D989" s="72"/>
      <c r="E989" s="72"/>
      <c r="F989" s="72"/>
      <c r="G989" s="72"/>
      <c r="H989" s="72"/>
      <c r="I989" s="72"/>
      <c r="J989" s="72"/>
      <c r="K989" s="72"/>
      <c r="L989" s="72"/>
      <c r="M989" s="72"/>
      <c r="N989" s="72"/>
      <c r="O989" s="72"/>
      <c r="P989" s="72"/>
      <c r="Q989" s="72"/>
      <c r="R989" s="72"/>
      <c r="S989" s="72"/>
      <c r="T989" s="72"/>
      <c r="U989" s="72"/>
      <c r="V989" s="72"/>
      <c r="W989" s="72"/>
      <c r="X989" s="72"/>
      <c r="Y989" s="72"/>
      <c r="Z989" s="72"/>
    </row>
    <row r="990" spans="1:26" ht="15.75" customHeight="1">
      <c r="A990" s="72"/>
      <c r="B990" s="72"/>
      <c r="C990" s="72"/>
      <c r="D990" s="72"/>
      <c r="E990" s="72"/>
      <c r="F990" s="72"/>
      <c r="G990" s="72"/>
      <c r="H990" s="72"/>
      <c r="I990" s="72"/>
      <c r="J990" s="72"/>
      <c r="K990" s="72"/>
      <c r="L990" s="72"/>
      <c r="M990" s="72"/>
      <c r="N990" s="72"/>
      <c r="O990" s="72"/>
      <c r="P990" s="72"/>
      <c r="Q990" s="72"/>
      <c r="R990" s="72"/>
      <c r="S990" s="72"/>
      <c r="T990" s="72"/>
      <c r="U990" s="72"/>
      <c r="V990" s="72"/>
      <c r="W990" s="72"/>
      <c r="X990" s="72"/>
      <c r="Y990" s="72"/>
      <c r="Z990" s="72"/>
    </row>
    <row r="991" spans="1:26" ht="15.75" customHeight="1">
      <c r="A991" s="72"/>
      <c r="B991" s="72"/>
      <c r="C991" s="72"/>
      <c r="D991" s="72"/>
      <c r="E991" s="72"/>
      <c r="F991" s="72"/>
      <c r="G991" s="72"/>
      <c r="H991" s="72"/>
      <c r="I991" s="72"/>
      <c r="J991" s="72"/>
      <c r="K991" s="72"/>
      <c r="L991" s="72"/>
      <c r="M991" s="72"/>
      <c r="N991" s="72"/>
      <c r="O991" s="72"/>
      <c r="P991" s="72"/>
      <c r="Q991" s="72"/>
      <c r="R991" s="72"/>
      <c r="S991" s="72"/>
      <c r="T991" s="72"/>
      <c r="U991" s="72"/>
      <c r="V991" s="72"/>
      <c r="W991" s="72"/>
      <c r="X991" s="72"/>
      <c r="Y991" s="72"/>
      <c r="Z991" s="72"/>
    </row>
    <row r="992" spans="1:26" ht="15.75" customHeight="1">
      <c r="A992" s="72"/>
      <c r="B992" s="72"/>
      <c r="C992" s="72"/>
      <c r="D992" s="72"/>
      <c r="E992" s="72"/>
      <c r="F992" s="72"/>
      <c r="G992" s="72"/>
      <c r="H992" s="72"/>
      <c r="I992" s="72"/>
      <c r="J992" s="72"/>
      <c r="K992" s="72"/>
      <c r="L992" s="72"/>
      <c r="M992" s="72"/>
      <c r="N992" s="72"/>
      <c r="O992" s="72"/>
      <c r="P992" s="72"/>
      <c r="Q992" s="72"/>
      <c r="R992" s="72"/>
      <c r="S992" s="72"/>
      <c r="T992" s="72"/>
      <c r="U992" s="72"/>
      <c r="V992" s="72"/>
      <c r="W992" s="72"/>
      <c r="X992" s="72"/>
      <c r="Y992" s="72"/>
      <c r="Z992" s="72"/>
    </row>
    <row r="993" spans="1:26" ht="15.75" customHeight="1">
      <c r="A993" s="72"/>
      <c r="B993" s="72"/>
      <c r="C993" s="72"/>
      <c r="D993" s="72"/>
      <c r="E993" s="72"/>
      <c r="F993" s="72"/>
      <c r="G993" s="72"/>
      <c r="H993" s="72"/>
      <c r="I993" s="72"/>
      <c r="J993" s="72"/>
      <c r="K993" s="72"/>
      <c r="L993" s="72"/>
      <c r="M993" s="72"/>
      <c r="N993" s="72"/>
      <c r="O993" s="72"/>
      <c r="P993" s="72"/>
      <c r="Q993" s="72"/>
      <c r="R993" s="72"/>
      <c r="S993" s="72"/>
      <c r="T993" s="72"/>
      <c r="U993" s="72"/>
      <c r="V993" s="72"/>
      <c r="W993" s="72"/>
      <c r="X993" s="72"/>
      <c r="Y993" s="72"/>
      <c r="Z993" s="72"/>
    </row>
    <row r="994" spans="1:26" ht="15.75" customHeight="1">
      <c r="A994" s="72"/>
      <c r="B994" s="72"/>
      <c r="C994" s="72"/>
      <c r="D994" s="72"/>
      <c r="E994" s="72"/>
      <c r="F994" s="72"/>
      <c r="G994" s="72"/>
      <c r="H994" s="72"/>
      <c r="I994" s="72"/>
      <c r="J994" s="72"/>
      <c r="K994" s="72"/>
      <c r="L994" s="72"/>
      <c r="M994" s="72"/>
      <c r="N994" s="72"/>
      <c r="O994" s="72"/>
      <c r="P994" s="72"/>
      <c r="Q994" s="72"/>
      <c r="R994" s="72"/>
      <c r="S994" s="72"/>
      <c r="T994" s="72"/>
      <c r="U994" s="72"/>
      <c r="V994" s="72"/>
      <c r="W994" s="72"/>
      <c r="X994" s="72"/>
      <c r="Y994" s="72"/>
      <c r="Z994" s="72"/>
    </row>
    <row r="995" spans="1:26" ht="15.75" customHeight="1">
      <c r="A995" s="72"/>
      <c r="B995" s="72"/>
      <c r="C995" s="72"/>
      <c r="D995" s="72"/>
      <c r="E995" s="72"/>
      <c r="F995" s="72"/>
      <c r="G995" s="72"/>
      <c r="H995" s="72"/>
      <c r="I995" s="72"/>
      <c r="J995" s="72"/>
      <c r="K995" s="72"/>
      <c r="L995" s="72"/>
      <c r="M995" s="72"/>
      <c r="N995" s="72"/>
      <c r="O995" s="72"/>
      <c r="P995" s="72"/>
      <c r="Q995" s="72"/>
      <c r="R995" s="72"/>
      <c r="S995" s="72"/>
      <c r="T995" s="72"/>
      <c r="U995" s="72"/>
      <c r="V995" s="72"/>
      <c r="W995" s="72"/>
      <c r="X995" s="72"/>
      <c r="Y995" s="72"/>
      <c r="Z995" s="72"/>
    </row>
    <row r="996" spans="1:26" ht="15.75" customHeight="1">
      <c r="A996" s="72"/>
      <c r="B996" s="72"/>
      <c r="C996" s="72"/>
      <c r="D996" s="72"/>
      <c r="E996" s="72"/>
      <c r="F996" s="72"/>
      <c r="G996" s="72"/>
      <c r="H996" s="72"/>
      <c r="I996" s="72"/>
      <c r="J996" s="72"/>
      <c r="K996" s="72"/>
      <c r="L996" s="72"/>
      <c r="M996" s="72"/>
      <c r="N996" s="72"/>
      <c r="O996" s="72"/>
      <c r="P996" s="72"/>
      <c r="Q996" s="72"/>
      <c r="R996" s="72"/>
      <c r="S996" s="72"/>
      <c r="T996" s="72"/>
      <c r="U996" s="72"/>
      <c r="V996" s="72"/>
      <c r="W996" s="72"/>
      <c r="X996" s="72"/>
      <c r="Y996" s="72"/>
      <c r="Z996" s="72"/>
    </row>
    <row r="997" spans="1:26" ht="15.75" customHeight="1">
      <c r="A997" s="72"/>
      <c r="B997" s="72"/>
      <c r="C997" s="72"/>
      <c r="D997" s="72"/>
      <c r="E997" s="72"/>
      <c r="F997" s="72"/>
      <c r="G997" s="72"/>
      <c r="H997" s="72"/>
      <c r="I997" s="72"/>
      <c r="J997" s="72"/>
      <c r="K997" s="72"/>
      <c r="L997" s="72"/>
      <c r="M997" s="72"/>
      <c r="N997" s="72"/>
      <c r="O997" s="72"/>
      <c r="P997" s="72"/>
      <c r="Q997" s="72"/>
      <c r="R997" s="72"/>
      <c r="S997" s="72"/>
      <c r="T997" s="72"/>
      <c r="U997" s="72"/>
      <c r="V997" s="72"/>
      <c r="W997" s="72"/>
      <c r="X997" s="72"/>
      <c r="Y997" s="72"/>
      <c r="Z997" s="72"/>
    </row>
    <row r="998" spans="1:26" ht="15.75" customHeight="1">
      <c r="A998" s="72"/>
      <c r="B998" s="72"/>
      <c r="C998" s="72"/>
      <c r="D998" s="72"/>
      <c r="E998" s="72"/>
      <c r="F998" s="72"/>
      <c r="G998" s="72"/>
      <c r="H998" s="72"/>
      <c r="I998" s="72"/>
      <c r="J998" s="72"/>
      <c r="K998" s="72"/>
      <c r="L998" s="72"/>
      <c r="M998" s="72"/>
      <c r="N998" s="72"/>
      <c r="O998" s="72"/>
      <c r="P998" s="72"/>
      <c r="Q998" s="72"/>
      <c r="R998" s="72"/>
      <c r="S998" s="72"/>
      <c r="T998" s="72"/>
      <c r="U998" s="72"/>
      <c r="V998" s="72"/>
      <c r="W998" s="72"/>
      <c r="X998" s="72"/>
      <c r="Y998" s="72"/>
      <c r="Z998" s="72"/>
    </row>
    <row r="999" spans="1:26" ht="15.75" customHeight="1">
      <c r="A999" s="72"/>
      <c r="B999" s="72"/>
      <c r="C999" s="72"/>
      <c r="D999" s="72"/>
      <c r="E999" s="72"/>
      <c r="F999" s="72"/>
      <c r="G999" s="72"/>
      <c r="H999" s="72"/>
      <c r="I999" s="72"/>
      <c r="J999" s="72"/>
      <c r="K999" s="72"/>
      <c r="L999" s="72"/>
      <c r="M999" s="72"/>
      <c r="N999" s="72"/>
      <c r="O999" s="72"/>
      <c r="P999" s="72"/>
      <c r="Q999" s="72"/>
      <c r="R999" s="72"/>
      <c r="S999" s="72"/>
      <c r="T999" s="72"/>
      <c r="U999" s="72"/>
      <c r="V999" s="72"/>
      <c r="W999" s="72"/>
      <c r="X999" s="72"/>
      <c r="Y999" s="72"/>
      <c r="Z999" s="72"/>
    </row>
    <row r="1000" spans="1:26" ht="15.75" customHeight="1">
      <c r="A1000" s="72"/>
      <c r="B1000" s="72"/>
      <c r="C1000" s="72"/>
      <c r="D1000" s="72"/>
      <c r="E1000" s="72"/>
      <c r="F1000" s="72"/>
      <c r="G1000" s="72"/>
      <c r="H1000" s="72"/>
      <c r="I1000" s="72"/>
      <c r="J1000" s="72"/>
      <c r="K1000" s="72"/>
      <c r="L1000" s="72"/>
      <c r="M1000" s="72"/>
      <c r="N1000" s="72"/>
      <c r="O1000" s="72"/>
      <c r="P1000" s="72"/>
      <c r="Q1000" s="72"/>
      <c r="R1000" s="72"/>
      <c r="S1000" s="72"/>
      <c r="T1000" s="72"/>
      <c r="U1000" s="72"/>
      <c r="V1000" s="72"/>
      <c r="W1000" s="72"/>
      <c r="X1000" s="72"/>
      <c r="Y1000" s="72"/>
      <c r="Z1000" s="72"/>
    </row>
    <row r="1001" spans="1:26" ht="15.75" customHeight="1">
      <c r="A1001" s="72"/>
      <c r="B1001" s="72"/>
      <c r="C1001" s="72"/>
      <c r="D1001" s="72"/>
      <c r="E1001" s="72"/>
      <c r="F1001" s="72"/>
      <c r="G1001" s="72"/>
      <c r="H1001" s="72"/>
      <c r="I1001" s="72"/>
      <c r="J1001" s="72"/>
      <c r="K1001" s="72"/>
      <c r="L1001" s="72"/>
      <c r="M1001" s="72"/>
      <c r="N1001" s="72"/>
      <c r="O1001" s="72"/>
      <c r="P1001" s="72"/>
      <c r="Q1001" s="72"/>
      <c r="R1001" s="72"/>
      <c r="S1001" s="72"/>
      <c r="T1001" s="72"/>
      <c r="U1001" s="72"/>
      <c r="V1001" s="72"/>
      <c r="W1001" s="72"/>
      <c r="X1001" s="72"/>
      <c r="Y1001" s="72"/>
      <c r="Z1001" s="72"/>
    </row>
    <row r="1002" spans="1:26" ht="15.75" customHeight="1">
      <c r="A1002" s="72"/>
      <c r="B1002" s="72"/>
      <c r="C1002" s="72"/>
      <c r="D1002" s="72"/>
      <c r="E1002" s="72"/>
      <c r="F1002" s="72"/>
      <c r="G1002" s="72"/>
      <c r="H1002" s="72"/>
      <c r="I1002" s="72"/>
      <c r="J1002" s="72"/>
      <c r="K1002" s="72"/>
      <c r="L1002" s="72"/>
      <c r="M1002" s="72"/>
      <c r="N1002" s="72"/>
      <c r="O1002" s="72"/>
      <c r="P1002" s="72"/>
      <c r="Q1002" s="72"/>
      <c r="R1002" s="72"/>
      <c r="S1002" s="72"/>
      <c r="T1002" s="72"/>
      <c r="U1002" s="72"/>
      <c r="V1002" s="72"/>
      <c r="W1002" s="72"/>
      <c r="X1002" s="72"/>
      <c r="Y1002" s="72"/>
      <c r="Z1002" s="72"/>
    </row>
    <row r="1003" spans="1:26" ht="15.75" customHeight="1">
      <c r="A1003" s="72"/>
      <c r="B1003" s="72"/>
      <c r="C1003" s="72"/>
      <c r="D1003" s="72"/>
      <c r="E1003" s="72"/>
      <c r="F1003" s="72"/>
      <c r="G1003" s="72"/>
      <c r="H1003" s="72"/>
      <c r="I1003" s="72"/>
      <c r="J1003" s="72"/>
      <c r="K1003" s="72"/>
      <c r="L1003" s="72"/>
      <c r="M1003" s="72"/>
      <c r="N1003" s="72"/>
      <c r="O1003" s="72"/>
      <c r="P1003" s="72"/>
      <c r="Q1003" s="72"/>
      <c r="R1003" s="72"/>
      <c r="S1003" s="72"/>
      <c r="T1003" s="72"/>
      <c r="U1003" s="72"/>
      <c r="V1003" s="72"/>
      <c r="W1003" s="72"/>
      <c r="X1003" s="72"/>
      <c r="Y1003" s="72"/>
      <c r="Z1003" s="72"/>
    </row>
  </sheetData>
  <mergeCells count="108">
    <mergeCell ref="A4:C4"/>
    <mergeCell ref="D4:E4"/>
    <mergeCell ref="F4:G4"/>
    <mergeCell ref="A5:B5"/>
    <mergeCell ref="C5:J5"/>
    <mergeCell ref="F6:G6"/>
    <mergeCell ref="A1:B2"/>
    <mergeCell ref="C1:G2"/>
    <mergeCell ref="I1:J1"/>
    <mergeCell ref="I2:J2"/>
    <mergeCell ref="A3:E3"/>
    <mergeCell ref="F3:G3"/>
    <mergeCell ref="H3:J3"/>
    <mergeCell ref="A7:B7"/>
    <mergeCell ref="C7:E7"/>
    <mergeCell ref="F7:H7"/>
    <mergeCell ref="I7:J7"/>
    <mergeCell ref="A8:A9"/>
    <mergeCell ref="B8:B9"/>
    <mergeCell ref="C8:E8"/>
    <mergeCell ref="F8:G9"/>
    <mergeCell ref="H8:H9"/>
    <mergeCell ref="I8:I9"/>
    <mergeCell ref="J8:J9"/>
    <mergeCell ref="A10:A12"/>
    <mergeCell ref="B10:B12"/>
    <mergeCell ref="C10:C12"/>
    <mergeCell ref="D10:D12"/>
    <mergeCell ref="E10:E12"/>
    <mergeCell ref="H10:H12"/>
    <mergeCell ref="I10:I12"/>
    <mergeCell ref="J10:J12"/>
    <mergeCell ref="F11:G11"/>
    <mergeCell ref="I13:I15"/>
    <mergeCell ref="J13:J15"/>
    <mergeCell ref="F14:G14"/>
    <mergeCell ref="A16:A24"/>
    <mergeCell ref="B16:B18"/>
    <mergeCell ref="C16:C18"/>
    <mergeCell ref="D16:D18"/>
    <mergeCell ref="E16:E18"/>
    <mergeCell ref="H16:H18"/>
    <mergeCell ref="I16:I18"/>
    <mergeCell ref="A13:A15"/>
    <mergeCell ref="B13:B15"/>
    <mergeCell ref="C13:C15"/>
    <mergeCell ref="D13:D15"/>
    <mergeCell ref="E13:E15"/>
    <mergeCell ref="H13:H15"/>
    <mergeCell ref="J16:J18"/>
    <mergeCell ref="F17:G17"/>
    <mergeCell ref="B19:B21"/>
    <mergeCell ref="C19:C21"/>
    <mergeCell ref="D19:D21"/>
    <mergeCell ref="E19:E21"/>
    <mergeCell ref="H19:H21"/>
    <mergeCell ref="I19:I21"/>
    <mergeCell ref="J19:J21"/>
    <mergeCell ref="F20:G20"/>
    <mergeCell ref="F26:G26"/>
    <mergeCell ref="B28:B30"/>
    <mergeCell ref="C28:C30"/>
    <mergeCell ref="D28:D30"/>
    <mergeCell ref="E28:E30"/>
    <mergeCell ref="H28:H30"/>
    <mergeCell ref="J22:J24"/>
    <mergeCell ref="F23:G23"/>
    <mergeCell ref="A25:A39"/>
    <mergeCell ref="B25:B27"/>
    <mergeCell ref="C25:C27"/>
    <mergeCell ref="D25:D27"/>
    <mergeCell ref="E25:E27"/>
    <mergeCell ref="H25:H27"/>
    <mergeCell ref="I25:I27"/>
    <mergeCell ref="J25:J27"/>
    <mergeCell ref="B22:B24"/>
    <mergeCell ref="C22:C24"/>
    <mergeCell ref="D22:D24"/>
    <mergeCell ref="E22:E24"/>
    <mergeCell ref="H22:H24"/>
    <mergeCell ref="I22:I24"/>
    <mergeCell ref="F32:G32"/>
    <mergeCell ref="B34:B36"/>
    <mergeCell ref="C34:C36"/>
    <mergeCell ref="D34:D36"/>
    <mergeCell ref="E34:E36"/>
    <mergeCell ref="H34:H36"/>
    <mergeCell ref="I28:I30"/>
    <mergeCell ref="J28:J30"/>
    <mergeCell ref="F29:G29"/>
    <mergeCell ref="B31:B33"/>
    <mergeCell ref="B37:B39"/>
    <mergeCell ref="C37:C39"/>
    <mergeCell ref="D37:D39"/>
    <mergeCell ref="E37:E39"/>
    <mergeCell ref="H37:H39"/>
    <mergeCell ref="I37:I39"/>
    <mergeCell ref="J37:J39"/>
    <mergeCell ref="C31:C33"/>
    <mergeCell ref="D31:D33"/>
    <mergeCell ref="E31:E33"/>
    <mergeCell ref="H31:H33"/>
    <mergeCell ref="I31:I33"/>
    <mergeCell ref="J31:J33"/>
    <mergeCell ref="F38:G38"/>
    <mergeCell ref="I34:I36"/>
    <mergeCell ref="J34:J36"/>
    <mergeCell ref="F35:G35"/>
  </mergeCells>
  <conditionalFormatting sqref="J4">
    <cfRule type="cellIs" dxfId="113" priority="4" operator="lessThan">
      <formula>$H$4</formula>
    </cfRule>
    <cfRule type="cellIs" dxfId="112" priority="5" operator="greaterThan">
      <formula>$H$4</formula>
    </cfRule>
  </conditionalFormatting>
  <pageMargins left="0.25" right="0.25" top="0.75" bottom="0.75" header="0" footer="0"/>
  <pageSetup scale="27" orientation="portrait"/>
  <rowBreaks count="1" manualBreakCount="1">
    <brk id="4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657A0-0ED2-9541-BEE8-CA1C172B33F5}">
  <sheetPr codeName="Hoja26">
    <tabColor rgb="FF385623"/>
  </sheetPr>
  <dimension ref="A1:Z1000"/>
  <sheetViews>
    <sheetView topLeftCell="E1" workbookViewId="0">
      <selection activeCell="F5" sqref="F5:J6"/>
    </sheetView>
  </sheetViews>
  <sheetFormatPr baseColWidth="10" defaultColWidth="11.1640625" defaultRowHeight="15" customHeight="1"/>
  <cols>
    <col min="1" max="1" width="26.33203125" style="146" customWidth="1"/>
    <col min="2" max="2" width="27.6640625" style="146" customWidth="1"/>
    <col min="3" max="3" width="31.33203125" style="146" customWidth="1"/>
    <col min="4" max="4" width="27.83203125" style="146" customWidth="1"/>
    <col min="5" max="5" width="44.6640625" style="146" customWidth="1"/>
    <col min="6" max="6" width="19.33203125" style="146" customWidth="1"/>
    <col min="7" max="7" width="31" style="146" customWidth="1"/>
    <col min="8" max="8" width="26" style="146" customWidth="1"/>
    <col min="9" max="9" width="32.1640625" style="146" customWidth="1"/>
    <col min="10" max="10" width="31.83203125" style="146" customWidth="1"/>
    <col min="11" max="26" width="10.5" style="146" customWidth="1"/>
    <col min="27" max="16384" width="11.1640625" style="146"/>
  </cols>
  <sheetData>
    <row r="1" spans="1:26" ht="114.75" customHeight="1" thickBot="1">
      <c r="A1" s="226" t="e" vm="1">
        <v>#VALUE!</v>
      </c>
      <c r="B1" s="227"/>
      <c r="C1" s="207" t="s">
        <v>0</v>
      </c>
      <c r="D1" s="207"/>
      <c r="E1" s="207"/>
      <c r="F1" s="207"/>
      <c r="G1" s="208"/>
      <c r="H1" s="98" t="s">
        <v>1</v>
      </c>
      <c r="I1" s="183" t="s">
        <v>2</v>
      </c>
      <c r="J1" s="172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</row>
    <row r="2" spans="1:26" ht="33" customHeight="1" thickBot="1">
      <c r="A2" s="228"/>
      <c r="B2" s="229"/>
      <c r="C2" s="209"/>
      <c r="D2" s="209"/>
      <c r="E2" s="209"/>
      <c r="F2" s="209"/>
      <c r="G2" s="210"/>
      <c r="H2" s="98" t="s">
        <v>3</v>
      </c>
      <c r="I2" s="184">
        <v>45889</v>
      </c>
      <c r="J2" s="172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 spans="1:26" ht="33" customHeight="1" thickBot="1">
      <c r="A3" s="201" t="s">
        <v>856</v>
      </c>
      <c r="B3" s="202"/>
      <c r="C3" s="202"/>
      <c r="D3" s="202"/>
      <c r="E3" s="199" t="s">
        <v>855</v>
      </c>
      <c r="F3" s="199"/>
      <c r="G3" s="200"/>
      <c r="H3" s="185" t="s">
        <v>843</v>
      </c>
      <c r="I3" s="186"/>
      <c r="J3" s="187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</row>
    <row r="4" spans="1:26" ht="33" customHeight="1" thickBot="1">
      <c r="A4" s="119" t="s">
        <v>6</v>
      </c>
      <c r="B4" s="231" t="s">
        <v>531</v>
      </c>
      <c r="C4" s="172"/>
      <c r="D4" s="120" t="s">
        <v>8</v>
      </c>
      <c r="E4" s="121" t="s">
        <v>790</v>
      </c>
      <c r="F4" s="230" t="s">
        <v>9</v>
      </c>
      <c r="G4" s="189"/>
      <c r="H4" s="135">
        <v>2100000</v>
      </c>
      <c r="I4" s="123" t="s">
        <v>10</v>
      </c>
      <c r="J4" s="124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</row>
    <row r="5" spans="1:26" ht="33" customHeight="1" thickBot="1">
      <c r="A5" s="470" t="s">
        <v>11</v>
      </c>
      <c r="B5" s="354"/>
      <c r="C5" s="471" t="s">
        <v>532</v>
      </c>
      <c r="D5" s="355"/>
      <c r="E5" s="364"/>
      <c r="F5" s="234" t="s">
        <v>13</v>
      </c>
      <c r="G5" s="194"/>
      <c r="H5" s="237" t="s">
        <v>138</v>
      </c>
      <c r="I5" s="239" t="s">
        <v>15</v>
      </c>
      <c r="J5" s="237" t="s">
        <v>16</v>
      </c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</row>
    <row r="6" spans="1:26" ht="67.5" customHeight="1" thickBot="1">
      <c r="A6" s="121" t="s">
        <v>17</v>
      </c>
      <c r="B6" s="125" t="s">
        <v>18</v>
      </c>
      <c r="C6" s="126" t="s">
        <v>19</v>
      </c>
      <c r="D6" s="127" t="s">
        <v>20</v>
      </c>
      <c r="E6" s="126" t="s">
        <v>21</v>
      </c>
      <c r="F6" s="195"/>
      <c r="G6" s="196"/>
      <c r="H6" s="179"/>
      <c r="I6" s="179"/>
      <c r="J6" s="179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</row>
    <row r="7" spans="1:26" ht="33" customHeight="1" thickBot="1">
      <c r="A7" s="388" t="s">
        <v>22</v>
      </c>
      <c r="B7" s="364"/>
      <c r="C7" s="389" t="s">
        <v>903</v>
      </c>
      <c r="D7" s="355"/>
      <c r="E7" s="364"/>
      <c r="F7" s="392" t="s">
        <v>23</v>
      </c>
      <c r="G7" s="393"/>
      <c r="H7" s="354"/>
      <c r="I7" s="389" t="s">
        <v>24</v>
      </c>
      <c r="J7" s="364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</row>
    <row r="8" spans="1:26" ht="15.75" customHeight="1" thickBot="1">
      <c r="A8" s="394" t="s">
        <v>25</v>
      </c>
      <c r="B8" s="422" t="s">
        <v>26</v>
      </c>
      <c r="C8" s="424" t="s">
        <v>27</v>
      </c>
      <c r="D8" s="355"/>
      <c r="E8" s="364"/>
      <c r="F8" s="425" t="s">
        <v>28</v>
      </c>
      <c r="G8" s="371"/>
      <c r="H8" s="391" t="s">
        <v>29</v>
      </c>
      <c r="I8" s="390" t="s">
        <v>30</v>
      </c>
      <c r="J8" s="391" t="s">
        <v>31</v>
      </c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</row>
    <row r="9" spans="1:26" ht="15.75" customHeight="1" thickBot="1">
      <c r="A9" s="258"/>
      <c r="B9" s="423"/>
      <c r="C9" s="80" t="s">
        <v>32</v>
      </c>
      <c r="D9" s="81" t="s">
        <v>33</v>
      </c>
      <c r="E9" s="82" t="s">
        <v>34</v>
      </c>
      <c r="F9" s="372"/>
      <c r="G9" s="373"/>
      <c r="H9" s="258"/>
      <c r="I9" s="366"/>
      <c r="J9" s="258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</row>
    <row r="10" spans="1:26" ht="54.75" customHeight="1" thickBot="1">
      <c r="A10" s="382" t="s">
        <v>35</v>
      </c>
      <c r="B10" s="256" t="s">
        <v>533</v>
      </c>
      <c r="C10" s="272" t="s">
        <v>904</v>
      </c>
      <c r="D10" s="256" t="s">
        <v>905</v>
      </c>
      <c r="E10" s="256" t="s">
        <v>39</v>
      </c>
      <c r="F10" s="112">
        <v>60</v>
      </c>
      <c r="G10" s="83" t="s">
        <v>906</v>
      </c>
      <c r="H10" s="256" t="s">
        <v>909</v>
      </c>
      <c r="I10" s="256" t="s">
        <v>910</v>
      </c>
      <c r="J10" s="256" t="s">
        <v>911</v>
      </c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</row>
    <row r="11" spans="1:26" ht="34.5" customHeight="1" thickBot="1">
      <c r="A11" s="257"/>
      <c r="B11" s="257"/>
      <c r="C11" s="273"/>
      <c r="D11" s="257"/>
      <c r="E11" s="257"/>
      <c r="F11" s="261" t="s">
        <v>44</v>
      </c>
      <c r="G11" s="262"/>
      <c r="H11" s="257"/>
      <c r="I11" s="257"/>
      <c r="J11" s="257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</row>
    <row r="12" spans="1:26" ht="126" customHeight="1" thickBot="1">
      <c r="A12" s="258"/>
      <c r="B12" s="258"/>
      <c r="C12" s="274"/>
      <c r="D12" s="258"/>
      <c r="E12" s="258"/>
      <c r="F12" s="144"/>
      <c r="G12" s="84" t="s">
        <v>908</v>
      </c>
      <c r="H12" s="258"/>
      <c r="I12" s="258"/>
      <c r="J12" s="258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</row>
    <row r="13" spans="1:26" ht="69" customHeight="1" thickBot="1">
      <c r="A13" s="381" t="s">
        <v>46</v>
      </c>
      <c r="B13" s="427" t="s">
        <v>534</v>
      </c>
      <c r="C13" s="256" t="s">
        <v>924</v>
      </c>
      <c r="D13" s="256" t="s">
        <v>905</v>
      </c>
      <c r="E13" s="256" t="s">
        <v>39</v>
      </c>
      <c r="F13" s="86">
        <v>100</v>
      </c>
      <c r="G13" s="147" t="s">
        <v>912</v>
      </c>
      <c r="H13" s="256" t="s">
        <v>925</v>
      </c>
      <c r="I13" s="256" t="s">
        <v>535</v>
      </c>
      <c r="J13" s="256" t="s">
        <v>536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</row>
    <row r="14" spans="1:26" ht="39" customHeight="1" thickBot="1">
      <c r="A14" s="257"/>
      <c r="B14" s="257"/>
      <c r="C14" s="257"/>
      <c r="D14" s="257"/>
      <c r="E14" s="257"/>
      <c r="F14" s="261" t="s">
        <v>44</v>
      </c>
      <c r="G14" s="262"/>
      <c r="H14" s="257"/>
      <c r="I14" s="257"/>
      <c r="J14" s="257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</row>
    <row r="15" spans="1:26" ht="70.5" customHeight="1" thickBot="1">
      <c r="A15" s="258"/>
      <c r="B15" s="258"/>
      <c r="C15" s="258"/>
      <c r="D15" s="258"/>
      <c r="E15" s="258"/>
      <c r="F15" s="96">
        <v>10</v>
      </c>
      <c r="G15" s="84" t="s">
        <v>913</v>
      </c>
      <c r="H15" s="258"/>
      <c r="I15" s="258"/>
      <c r="J15" s="258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</row>
    <row r="16" spans="1:26" ht="69" customHeight="1" thickBot="1">
      <c r="A16" s="473" t="s">
        <v>55</v>
      </c>
      <c r="B16" s="256" t="s">
        <v>914</v>
      </c>
      <c r="C16" s="256" t="s">
        <v>537</v>
      </c>
      <c r="D16" s="256" t="s">
        <v>926</v>
      </c>
      <c r="E16" s="256" t="s">
        <v>39</v>
      </c>
      <c r="F16" s="86">
        <v>95</v>
      </c>
      <c r="G16" s="88" t="s">
        <v>266</v>
      </c>
      <c r="H16" s="256" t="s">
        <v>538</v>
      </c>
      <c r="I16" s="256" t="s">
        <v>539</v>
      </c>
      <c r="J16" s="256" t="s">
        <v>540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</row>
    <row r="17" spans="1:26" ht="49.5" customHeight="1" thickBot="1">
      <c r="A17" s="474"/>
      <c r="B17" s="257"/>
      <c r="C17" s="257"/>
      <c r="D17" s="257"/>
      <c r="E17" s="257"/>
      <c r="F17" s="261" t="s">
        <v>44</v>
      </c>
      <c r="G17" s="262"/>
      <c r="H17" s="257"/>
      <c r="I17" s="257"/>
      <c r="J17" s="257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</row>
    <row r="18" spans="1:26" ht="87.75" customHeight="1" thickBot="1">
      <c r="A18" s="474"/>
      <c r="B18" s="258"/>
      <c r="C18" s="258"/>
      <c r="D18" s="258"/>
      <c r="E18" s="258"/>
      <c r="F18" s="89">
        <v>7</v>
      </c>
      <c r="G18" s="88" t="s">
        <v>266</v>
      </c>
      <c r="H18" s="258"/>
      <c r="I18" s="258"/>
      <c r="J18" s="258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</row>
    <row r="19" spans="1:26" ht="109.5" customHeight="1" thickBot="1">
      <c r="A19" s="474"/>
      <c r="B19" s="256" t="s">
        <v>915</v>
      </c>
      <c r="C19" s="256" t="s">
        <v>541</v>
      </c>
      <c r="D19" s="256" t="s">
        <v>926</v>
      </c>
      <c r="E19" s="256" t="s">
        <v>39</v>
      </c>
      <c r="F19" s="86">
        <v>97</v>
      </c>
      <c r="G19" s="88" t="s">
        <v>266</v>
      </c>
      <c r="H19" s="256" t="s">
        <v>542</v>
      </c>
      <c r="I19" s="256" t="s">
        <v>543</v>
      </c>
      <c r="J19" s="256" t="s">
        <v>544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</row>
    <row r="20" spans="1:26" ht="63.75" customHeight="1" thickBot="1">
      <c r="A20" s="474"/>
      <c r="B20" s="257"/>
      <c r="C20" s="257"/>
      <c r="D20" s="257"/>
      <c r="E20" s="257"/>
      <c r="F20" s="261" t="s">
        <v>44</v>
      </c>
      <c r="G20" s="262"/>
      <c r="H20" s="257"/>
      <c r="I20" s="257"/>
      <c r="J20" s="257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</row>
    <row r="21" spans="1:26" ht="63.75" customHeight="1" thickBot="1">
      <c r="A21" s="474"/>
      <c r="B21" s="258"/>
      <c r="C21" s="258"/>
      <c r="D21" s="258"/>
      <c r="E21" s="258"/>
      <c r="F21" s="86">
        <v>5</v>
      </c>
      <c r="G21" s="148" t="s">
        <v>266</v>
      </c>
      <c r="H21" s="258"/>
      <c r="I21" s="258"/>
      <c r="J21" s="258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</row>
    <row r="22" spans="1:26" ht="48.75" customHeight="1" thickBot="1">
      <c r="A22" s="474"/>
      <c r="B22" s="427" t="s">
        <v>916</v>
      </c>
      <c r="C22" s="256" t="s">
        <v>545</v>
      </c>
      <c r="D22" s="256" t="s">
        <v>926</v>
      </c>
      <c r="E22" s="256" t="s">
        <v>39</v>
      </c>
      <c r="F22" s="86">
        <v>95</v>
      </c>
      <c r="G22" s="88" t="s">
        <v>266</v>
      </c>
      <c r="H22" s="256" t="s">
        <v>546</v>
      </c>
      <c r="I22" s="256" t="s">
        <v>547</v>
      </c>
      <c r="J22" s="256" t="s">
        <v>548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</row>
    <row r="23" spans="1:26" ht="30.75" customHeight="1" thickBot="1">
      <c r="A23" s="474"/>
      <c r="B23" s="257"/>
      <c r="C23" s="257"/>
      <c r="D23" s="257"/>
      <c r="E23" s="257"/>
      <c r="F23" s="261" t="s">
        <v>44</v>
      </c>
      <c r="G23" s="262"/>
      <c r="H23" s="257"/>
      <c r="I23" s="257"/>
      <c r="J23" s="257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</row>
    <row r="24" spans="1:26" ht="108" customHeight="1" thickBot="1">
      <c r="A24" s="474"/>
      <c r="B24" s="258"/>
      <c r="C24" s="258"/>
      <c r="D24" s="258"/>
      <c r="E24" s="258"/>
      <c r="F24" s="86">
        <v>5</v>
      </c>
      <c r="G24" s="148" t="s">
        <v>266</v>
      </c>
      <c r="H24" s="258"/>
      <c r="I24" s="258"/>
      <c r="J24" s="258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</row>
    <row r="25" spans="1:26" ht="117.75" customHeight="1" thickBot="1">
      <c r="A25" s="474"/>
      <c r="B25" s="256" t="s">
        <v>917</v>
      </c>
      <c r="C25" s="256" t="s">
        <v>549</v>
      </c>
      <c r="D25" s="256" t="s">
        <v>550</v>
      </c>
      <c r="E25" s="256" t="s">
        <v>39</v>
      </c>
      <c r="F25" s="86">
        <v>80</v>
      </c>
      <c r="G25" s="88" t="s">
        <v>551</v>
      </c>
      <c r="H25" s="256" t="s">
        <v>552</v>
      </c>
      <c r="I25" s="256" t="s">
        <v>553</v>
      </c>
      <c r="J25" s="256" t="s">
        <v>554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</row>
    <row r="26" spans="1:26" ht="54.75" customHeight="1" thickBot="1">
      <c r="A26" s="474"/>
      <c r="B26" s="257"/>
      <c r="C26" s="257"/>
      <c r="D26" s="257"/>
      <c r="E26" s="257"/>
      <c r="F26" s="261" t="s">
        <v>44</v>
      </c>
      <c r="G26" s="262"/>
      <c r="H26" s="257"/>
      <c r="I26" s="257"/>
      <c r="J26" s="257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</row>
    <row r="27" spans="1:26" ht="72.75" customHeight="1" thickBot="1">
      <c r="A27" s="474"/>
      <c r="B27" s="258"/>
      <c r="C27" s="258"/>
      <c r="D27" s="258"/>
      <c r="E27" s="258"/>
      <c r="F27" s="86">
        <v>15</v>
      </c>
      <c r="G27" s="148" t="s">
        <v>555</v>
      </c>
      <c r="H27" s="258"/>
      <c r="I27" s="258"/>
      <c r="J27" s="258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</row>
    <row r="28" spans="1:26" ht="73.5" customHeight="1" thickBot="1">
      <c r="A28" s="474"/>
      <c r="B28" s="256" t="s">
        <v>918</v>
      </c>
      <c r="C28" s="256" t="s">
        <v>556</v>
      </c>
      <c r="D28" s="256" t="s">
        <v>926</v>
      </c>
      <c r="E28" s="256" t="s">
        <v>39</v>
      </c>
      <c r="F28" s="86">
        <v>95</v>
      </c>
      <c r="G28" s="88" t="s">
        <v>266</v>
      </c>
      <c r="H28" s="256" t="s">
        <v>557</v>
      </c>
      <c r="I28" s="256" t="s">
        <v>558</v>
      </c>
      <c r="J28" s="256" t="s">
        <v>559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</row>
    <row r="29" spans="1:26" ht="51.75" customHeight="1" thickBot="1">
      <c r="A29" s="474"/>
      <c r="B29" s="257"/>
      <c r="C29" s="257"/>
      <c r="D29" s="257"/>
      <c r="E29" s="257"/>
      <c r="F29" s="261" t="s">
        <v>44</v>
      </c>
      <c r="G29" s="262"/>
      <c r="H29" s="257"/>
      <c r="I29" s="257"/>
      <c r="J29" s="257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</row>
    <row r="30" spans="1:26" ht="72.75" customHeight="1" thickBot="1">
      <c r="A30" s="362"/>
      <c r="B30" s="258"/>
      <c r="C30" s="258"/>
      <c r="D30" s="258"/>
      <c r="E30" s="258"/>
      <c r="F30" s="86">
        <v>10</v>
      </c>
      <c r="G30" s="148" t="s">
        <v>266</v>
      </c>
      <c r="H30" s="258"/>
      <c r="I30" s="258"/>
      <c r="J30" s="258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</row>
    <row r="31" spans="1:26" ht="51.75" customHeight="1" thickBot="1">
      <c r="A31" s="440" t="s">
        <v>79</v>
      </c>
      <c r="B31" s="433" t="s">
        <v>919</v>
      </c>
      <c r="C31" s="256" t="s">
        <v>560</v>
      </c>
      <c r="D31" s="256" t="s">
        <v>926</v>
      </c>
      <c r="E31" s="256" t="s">
        <v>39</v>
      </c>
      <c r="F31" s="86">
        <v>40</v>
      </c>
      <c r="G31" s="84" t="s">
        <v>561</v>
      </c>
      <c r="H31" s="256" t="s">
        <v>562</v>
      </c>
      <c r="I31" s="256" t="s">
        <v>563</v>
      </c>
      <c r="J31" s="256" t="s">
        <v>564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</row>
    <row r="32" spans="1:26" ht="34.5" customHeight="1" thickBot="1">
      <c r="A32" s="432"/>
      <c r="B32" s="351"/>
      <c r="C32" s="257"/>
      <c r="D32" s="257"/>
      <c r="E32" s="257"/>
      <c r="F32" s="434" t="s">
        <v>44</v>
      </c>
      <c r="G32" s="364"/>
      <c r="H32" s="257"/>
      <c r="I32" s="257"/>
      <c r="J32" s="257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</row>
    <row r="33" spans="1:26" ht="55.5" customHeight="1" thickBot="1">
      <c r="A33" s="432"/>
      <c r="B33" s="351"/>
      <c r="C33" s="258"/>
      <c r="D33" s="257"/>
      <c r="E33" s="257"/>
      <c r="F33" s="150">
        <v>7</v>
      </c>
      <c r="G33" s="84" t="s">
        <v>561</v>
      </c>
      <c r="H33" s="258"/>
      <c r="I33" s="258"/>
      <c r="J33" s="258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</row>
    <row r="34" spans="1:26" ht="61.5" customHeight="1" thickBot="1">
      <c r="A34" s="432"/>
      <c r="B34" s="351"/>
      <c r="C34" s="256" t="s">
        <v>565</v>
      </c>
      <c r="D34" s="257"/>
      <c r="E34" s="257"/>
      <c r="F34" s="86">
        <v>4</v>
      </c>
      <c r="G34" s="84" t="s">
        <v>566</v>
      </c>
      <c r="H34" s="256" t="s">
        <v>567</v>
      </c>
      <c r="I34" s="256" t="s">
        <v>568</v>
      </c>
      <c r="J34" s="256" t="s">
        <v>569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</row>
    <row r="35" spans="1:26" ht="61.5" customHeight="1" thickBot="1">
      <c r="A35" s="432"/>
      <c r="B35" s="351"/>
      <c r="C35" s="257"/>
      <c r="D35" s="257"/>
      <c r="E35" s="257"/>
      <c r="F35" s="434" t="s">
        <v>44</v>
      </c>
      <c r="G35" s="364"/>
      <c r="H35" s="257"/>
      <c r="I35" s="257"/>
      <c r="J35" s="257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</row>
    <row r="36" spans="1:26" ht="61.5" customHeight="1" thickBot="1">
      <c r="A36" s="432"/>
      <c r="B36" s="387"/>
      <c r="C36" s="258"/>
      <c r="D36" s="258"/>
      <c r="E36" s="258"/>
      <c r="F36" s="150">
        <v>0</v>
      </c>
      <c r="G36" s="84" t="s">
        <v>570</v>
      </c>
      <c r="H36" s="258"/>
      <c r="I36" s="258"/>
      <c r="J36" s="258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</row>
    <row r="37" spans="1:26" ht="36" customHeight="1" thickBot="1">
      <c r="A37" s="432"/>
      <c r="B37" s="433" t="s">
        <v>920</v>
      </c>
      <c r="C37" s="256" t="s">
        <v>927</v>
      </c>
      <c r="D37" s="256" t="s">
        <v>926</v>
      </c>
      <c r="E37" s="256" t="s">
        <v>39</v>
      </c>
      <c r="F37" s="86">
        <v>172</v>
      </c>
      <c r="G37" s="84" t="s">
        <v>571</v>
      </c>
      <c r="H37" s="256" t="s">
        <v>572</v>
      </c>
      <c r="I37" s="256" t="s">
        <v>573</v>
      </c>
      <c r="J37" s="256" t="s">
        <v>574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</row>
    <row r="38" spans="1:26" ht="36" customHeight="1" thickBot="1">
      <c r="A38" s="432"/>
      <c r="B38" s="351"/>
      <c r="C38" s="257"/>
      <c r="D38" s="257"/>
      <c r="E38" s="257"/>
      <c r="F38" s="434" t="s">
        <v>44</v>
      </c>
      <c r="G38" s="364"/>
      <c r="H38" s="257"/>
      <c r="I38" s="257"/>
      <c r="J38" s="257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</row>
    <row r="39" spans="1:26" ht="36" customHeight="1" thickBot="1">
      <c r="A39" s="432"/>
      <c r="B39" s="351"/>
      <c r="C39" s="258"/>
      <c r="D39" s="257"/>
      <c r="E39" s="257"/>
      <c r="F39" s="86">
        <v>25</v>
      </c>
      <c r="G39" s="84" t="s">
        <v>575</v>
      </c>
      <c r="H39" s="258"/>
      <c r="I39" s="258"/>
      <c r="J39" s="258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</row>
    <row r="40" spans="1:26" ht="36" customHeight="1" thickBot="1">
      <c r="A40" s="432"/>
      <c r="B40" s="351"/>
      <c r="C40" s="256" t="s">
        <v>928</v>
      </c>
      <c r="D40" s="257"/>
      <c r="E40" s="257"/>
      <c r="F40" s="86">
        <v>30</v>
      </c>
      <c r="G40" s="84" t="s">
        <v>576</v>
      </c>
      <c r="H40" s="256" t="s">
        <v>577</v>
      </c>
      <c r="I40" s="256" t="s">
        <v>578</v>
      </c>
      <c r="J40" s="256" t="s">
        <v>579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</row>
    <row r="41" spans="1:26" ht="36" customHeight="1" thickBot="1">
      <c r="A41" s="432"/>
      <c r="B41" s="351"/>
      <c r="C41" s="257"/>
      <c r="D41" s="257"/>
      <c r="E41" s="257"/>
      <c r="F41" s="434" t="s">
        <v>44</v>
      </c>
      <c r="G41" s="364"/>
      <c r="H41" s="257"/>
      <c r="I41" s="257"/>
      <c r="J41" s="257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</row>
    <row r="42" spans="1:26" ht="108.75" customHeight="1" thickBot="1">
      <c r="A42" s="432"/>
      <c r="B42" s="387"/>
      <c r="C42" s="258"/>
      <c r="D42" s="258"/>
      <c r="E42" s="258"/>
      <c r="F42" s="150">
        <v>2</v>
      </c>
      <c r="G42" s="84" t="s">
        <v>580</v>
      </c>
      <c r="H42" s="258"/>
      <c r="I42" s="258"/>
      <c r="J42" s="258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</row>
    <row r="43" spans="1:26" ht="36" customHeight="1" thickBot="1">
      <c r="A43" s="432"/>
      <c r="B43" s="433" t="s">
        <v>921</v>
      </c>
      <c r="C43" s="256" t="s">
        <v>581</v>
      </c>
      <c r="D43" s="256" t="s">
        <v>926</v>
      </c>
      <c r="E43" s="256" t="s">
        <v>39</v>
      </c>
      <c r="F43" s="86">
        <v>100</v>
      </c>
      <c r="G43" s="84" t="s">
        <v>582</v>
      </c>
      <c r="H43" s="256" t="s">
        <v>583</v>
      </c>
      <c r="I43" s="256" t="s">
        <v>578</v>
      </c>
      <c r="J43" s="472" t="s">
        <v>584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</row>
    <row r="44" spans="1:26" ht="36" customHeight="1" thickBot="1">
      <c r="A44" s="432"/>
      <c r="B44" s="351"/>
      <c r="C44" s="257"/>
      <c r="D44" s="257"/>
      <c r="E44" s="257"/>
      <c r="F44" s="261" t="s">
        <v>44</v>
      </c>
      <c r="G44" s="364"/>
      <c r="H44" s="257"/>
      <c r="I44" s="257"/>
      <c r="J44" s="257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</row>
    <row r="45" spans="1:26" ht="121.5" customHeight="1" thickBot="1">
      <c r="A45" s="432"/>
      <c r="B45" s="351"/>
      <c r="C45" s="258"/>
      <c r="D45" s="257"/>
      <c r="E45" s="257"/>
      <c r="F45" s="86">
        <v>15</v>
      </c>
      <c r="G45" s="84" t="s">
        <v>585</v>
      </c>
      <c r="H45" s="258"/>
      <c r="I45" s="258"/>
      <c r="J45" s="258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</row>
    <row r="46" spans="1:26" ht="63" customHeight="1" thickBot="1">
      <c r="A46" s="432"/>
      <c r="B46" s="351"/>
      <c r="C46" s="256" t="s">
        <v>586</v>
      </c>
      <c r="D46" s="257"/>
      <c r="E46" s="257"/>
      <c r="F46" s="86">
        <v>90</v>
      </c>
      <c r="G46" s="84" t="s">
        <v>587</v>
      </c>
      <c r="H46" s="256" t="s">
        <v>588</v>
      </c>
      <c r="I46" s="256" t="s">
        <v>578</v>
      </c>
      <c r="J46" s="256" t="s">
        <v>589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</row>
    <row r="47" spans="1:26" ht="72" customHeight="1" thickBot="1">
      <c r="A47" s="432"/>
      <c r="B47" s="351"/>
      <c r="C47" s="257"/>
      <c r="D47" s="257"/>
      <c r="E47" s="257"/>
      <c r="F47" s="261" t="s">
        <v>44</v>
      </c>
      <c r="G47" s="364"/>
      <c r="H47" s="257"/>
      <c r="I47" s="257"/>
      <c r="J47" s="257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</row>
    <row r="48" spans="1:26" ht="72" customHeight="1" thickBot="1">
      <c r="A48" s="432"/>
      <c r="B48" s="387"/>
      <c r="C48" s="258"/>
      <c r="D48" s="258"/>
      <c r="E48" s="258"/>
      <c r="F48" s="86">
        <v>10</v>
      </c>
      <c r="G48" s="84" t="s">
        <v>590</v>
      </c>
      <c r="H48" s="258"/>
      <c r="I48" s="258"/>
      <c r="J48" s="258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</row>
    <row r="49" spans="1:26" ht="72" customHeight="1" thickBot="1">
      <c r="A49" s="432"/>
      <c r="B49" s="433" t="s">
        <v>922</v>
      </c>
      <c r="C49" s="272" t="s">
        <v>591</v>
      </c>
      <c r="D49" s="256" t="s">
        <v>926</v>
      </c>
      <c r="E49" s="256" t="s">
        <v>39</v>
      </c>
      <c r="F49" s="89">
        <v>8</v>
      </c>
      <c r="G49" s="84" t="s">
        <v>592</v>
      </c>
      <c r="H49" s="256" t="s">
        <v>593</v>
      </c>
      <c r="I49" s="256" t="s">
        <v>594</v>
      </c>
      <c r="J49" s="256" t="s">
        <v>595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</row>
    <row r="50" spans="1:26" ht="72" customHeight="1" thickBot="1">
      <c r="A50" s="432"/>
      <c r="B50" s="351"/>
      <c r="C50" s="273"/>
      <c r="D50" s="257"/>
      <c r="E50" s="257"/>
      <c r="F50" s="434" t="s">
        <v>44</v>
      </c>
      <c r="G50" s="364"/>
      <c r="H50" s="426"/>
      <c r="I50" s="257"/>
      <c r="J50" s="257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</row>
    <row r="51" spans="1:26" ht="72" customHeight="1" thickBot="1">
      <c r="A51" s="432"/>
      <c r="B51" s="351"/>
      <c r="C51" s="274"/>
      <c r="D51" s="258"/>
      <c r="E51" s="258"/>
      <c r="F51" s="151">
        <v>1</v>
      </c>
      <c r="G51" s="84" t="s">
        <v>596</v>
      </c>
      <c r="H51" s="149">
        <v>0.82</v>
      </c>
      <c r="I51" s="258"/>
      <c r="J51" s="258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</row>
    <row r="52" spans="1:26" ht="72" customHeight="1" thickBot="1">
      <c r="A52" s="432"/>
      <c r="B52" s="431" t="s">
        <v>923</v>
      </c>
      <c r="C52" s="433" t="s">
        <v>597</v>
      </c>
      <c r="D52" s="256" t="s">
        <v>926</v>
      </c>
      <c r="E52" s="256" t="s">
        <v>39</v>
      </c>
      <c r="F52" s="89">
        <v>15</v>
      </c>
      <c r="G52" s="84" t="s">
        <v>598</v>
      </c>
      <c r="H52" s="256" t="s">
        <v>599</v>
      </c>
      <c r="I52" s="256" t="s">
        <v>600</v>
      </c>
      <c r="J52" s="256" t="s">
        <v>601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</row>
    <row r="53" spans="1:26" ht="72" customHeight="1" thickBot="1">
      <c r="A53" s="432"/>
      <c r="B53" s="432"/>
      <c r="C53" s="351"/>
      <c r="D53" s="257"/>
      <c r="E53" s="257"/>
      <c r="F53" s="434" t="s">
        <v>44</v>
      </c>
      <c r="G53" s="364"/>
      <c r="H53" s="257"/>
      <c r="I53" s="257"/>
      <c r="J53" s="257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</row>
    <row r="54" spans="1:26" ht="72" customHeight="1" thickBot="1">
      <c r="A54" s="369"/>
      <c r="B54" s="369"/>
      <c r="C54" s="387"/>
      <c r="D54" s="258"/>
      <c r="E54" s="258"/>
      <c r="F54" s="151">
        <v>2</v>
      </c>
      <c r="G54" s="84" t="s">
        <v>602</v>
      </c>
      <c r="H54" s="258"/>
      <c r="I54" s="258"/>
      <c r="J54" s="258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</row>
    <row r="55" spans="1:26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</row>
    <row r="56" spans="1:26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</row>
    <row r="57" spans="1:26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</row>
    <row r="58" spans="1:26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</row>
    <row r="59" spans="1:26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</row>
    <row r="60" spans="1:26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</row>
    <row r="61" spans="1:26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</row>
    <row r="62" spans="1:26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</row>
    <row r="63" spans="1:26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</row>
    <row r="64" spans="1:26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</row>
    <row r="65" spans="1:26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</row>
    <row r="66" spans="1:26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</row>
    <row r="67" spans="1:26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</row>
    <row r="68" spans="1:26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</row>
    <row r="69" spans="1:26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</row>
    <row r="70" spans="1:26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</row>
    <row r="71" spans="1:26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</row>
    <row r="72" spans="1:26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</row>
    <row r="73" spans="1:26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</row>
    <row r="74" spans="1:26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</row>
    <row r="75" spans="1:26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</row>
    <row r="76" spans="1:26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</row>
    <row r="77" spans="1:26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</row>
    <row r="78" spans="1:26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</row>
    <row r="79" spans="1:26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</row>
    <row r="80" spans="1:26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</row>
    <row r="81" spans="1:26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</row>
    <row r="82" spans="1:26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</row>
    <row r="83" spans="1:26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</row>
    <row r="84" spans="1:26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</row>
    <row r="85" spans="1:26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</row>
    <row r="86" spans="1:26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</row>
    <row r="87" spans="1:26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</row>
    <row r="88" spans="1:26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</row>
    <row r="89" spans="1:26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</row>
    <row r="90" spans="1:26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</row>
    <row r="91" spans="1:26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</row>
    <row r="92" spans="1:26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</row>
    <row r="93" spans="1:26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</row>
    <row r="94" spans="1:26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</row>
    <row r="95" spans="1:26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</row>
    <row r="96" spans="1:26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</row>
    <row r="97" spans="1:26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</row>
    <row r="98" spans="1:26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</row>
    <row r="99" spans="1:26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</row>
    <row r="100" spans="1:26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</row>
    <row r="101" spans="1:26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</row>
    <row r="102" spans="1:26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</row>
    <row r="103" spans="1:26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</row>
    <row r="104" spans="1:26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</row>
    <row r="105" spans="1:26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</row>
    <row r="106" spans="1:26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</row>
    <row r="107" spans="1:26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</row>
    <row r="108" spans="1:26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</row>
    <row r="109" spans="1:26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</row>
    <row r="110" spans="1:26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</row>
    <row r="111" spans="1:26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</row>
    <row r="112" spans="1:26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</row>
    <row r="113" spans="1:26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</row>
    <row r="114" spans="1:26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</row>
    <row r="115" spans="1:26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</row>
    <row r="116" spans="1:26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</row>
    <row r="117" spans="1:26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</row>
    <row r="118" spans="1:26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</row>
    <row r="119" spans="1:26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</row>
    <row r="120" spans="1:26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</row>
    <row r="121" spans="1:26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</row>
    <row r="122" spans="1:26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</row>
    <row r="123" spans="1:26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</row>
    <row r="124" spans="1:26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</row>
    <row r="125" spans="1:26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:26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</row>
    <row r="127" spans="1:26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</row>
    <row r="128" spans="1:26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</row>
    <row r="129" spans="1:26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</row>
    <row r="130" spans="1:26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</row>
    <row r="131" spans="1:26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</row>
    <row r="132" spans="1:26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</row>
    <row r="133" spans="1:26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</row>
    <row r="134" spans="1:26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</row>
    <row r="135" spans="1:26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</row>
    <row r="136" spans="1:26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</row>
    <row r="137" spans="1:26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</row>
    <row r="138" spans="1:26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</row>
    <row r="139" spans="1:26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</row>
    <row r="140" spans="1:26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</row>
    <row r="141" spans="1:26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</row>
    <row r="142" spans="1:26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</row>
    <row r="143" spans="1:26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</row>
    <row r="144" spans="1:26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</row>
    <row r="145" spans="1:26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</row>
    <row r="146" spans="1:26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</row>
    <row r="147" spans="1:26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</row>
    <row r="148" spans="1:26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</row>
    <row r="149" spans="1:26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</row>
    <row r="150" spans="1:26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</row>
    <row r="151" spans="1:26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</row>
    <row r="152" spans="1:26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</row>
    <row r="153" spans="1:26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</row>
    <row r="154" spans="1:26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</row>
    <row r="155" spans="1:26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</row>
    <row r="156" spans="1:26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</row>
    <row r="157" spans="1:26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</row>
    <row r="158" spans="1:26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</row>
    <row r="159" spans="1:26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</row>
    <row r="160" spans="1:26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</row>
    <row r="161" spans="1:26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</row>
    <row r="162" spans="1:26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</row>
    <row r="163" spans="1:26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</row>
    <row r="164" spans="1:26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</row>
    <row r="165" spans="1:26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</row>
    <row r="166" spans="1:26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</row>
    <row r="167" spans="1:26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</row>
    <row r="168" spans="1:26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</row>
    <row r="169" spans="1:26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</row>
    <row r="170" spans="1:26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</row>
    <row r="171" spans="1:26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</row>
    <row r="172" spans="1:26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</row>
    <row r="173" spans="1:26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</row>
    <row r="174" spans="1:26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</row>
    <row r="175" spans="1:26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</row>
    <row r="176" spans="1:26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</row>
    <row r="177" spans="1:26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</row>
    <row r="178" spans="1:26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</row>
    <row r="179" spans="1:26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</row>
    <row r="180" spans="1:26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</row>
    <row r="181" spans="1:26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</row>
    <row r="182" spans="1:26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</row>
    <row r="183" spans="1:26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</row>
    <row r="184" spans="1:26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</row>
    <row r="185" spans="1:26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</row>
    <row r="186" spans="1:26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</row>
    <row r="187" spans="1:26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</row>
    <row r="188" spans="1:26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</row>
    <row r="189" spans="1:26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</row>
    <row r="190" spans="1:26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</row>
    <row r="191" spans="1:26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</row>
    <row r="192" spans="1:26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</row>
    <row r="193" spans="1:26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</row>
    <row r="194" spans="1:26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</row>
    <row r="195" spans="1:26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</row>
    <row r="196" spans="1:26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</row>
    <row r="197" spans="1:26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</row>
    <row r="198" spans="1:26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</row>
    <row r="199" spans="1:26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</row>
    <row r="200" spans="1:26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</row>
    <row r="201" spans="1:26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</row>
    <row r="202" spans="1:26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</row>
    <row r="203" spans="1:26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</row>
    <row r="204" spans="1:26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</row>
    <row r="205" spans="1:26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</row>
    <row r="206" spans="1:26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</row>
    <row r="207" spans="1:26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</row>
    <row r="208" spans="1:26" ht="15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</row>
    <row r="209" spans="1:26" ht="15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</row>
    <row r="210" spans="1:26" ht="15.7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</row>
    <row r="211" spans="1:26" ht="15.7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</row>
    <row r="212" spans="1:26" ht="15.75" customHeigh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</row>
    <row r="213" spans="1:26" ht="15.75" customHeigh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</row>
    <row r="214" spans="1:26" ht="15.75" customHeigh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</row>
    <row r="215" spans="1:26" ht="15.75" customHeight="1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</row>
    <row r="216" spans="1:26" ht="15.75" customHeight="1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</row>
    <row r="217" spans="1:26" ht="15.75" customHeight="1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</row>
    <row r="218" spans="1:26" ht="15.75" customHeight="1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</row>
    <row r="219" spans="1:26" ht="15.75" customHeight="1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</row>
    <row r="220" spans="1:26" ht="15.75" customHeight="1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</row>
    <row r="221" spans="1:26" ht="15.75" customHeight="1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</row>
    <row r="222" spans="1:26" ht="15.75" customHeight="1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</row>
    <row r="223" spans="1:26" ht="15.75" customHeight="1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</row>
    <row r="224" spans="1:26" ht="15.75" customHeight="1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</row>
    <row r="225" spans="1:26" ht="15.75" customHeight="1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</row>
    <row r="226" spans="1:26" ht="15.75" customHeight="1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</row>
    <row r="227" spans="1:26" ht="15.75" customHeight="1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</row>
    <row r="228" spans="1:26" ht="15.75" customHeight="1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</row>
    <row r="229" spans="1:26" ht="15.75" customHeight="1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</row>
    <row r="230" spans="1:26" ht="15.75" customHeight="1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</row>
    <row r="231" spans="1:26" ht="15.75" customHeight="1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</row>
    <row r="232" spans="1:26" ht="15.75" customHeight="1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</row>
    <row r="233" spans="1:26" ht="15.75" customHeight="1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</row>
    <row r="234" spans="1:26" ht="15.75" customHeight="1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</row>
    <row r="235" spans="1:26" ht="15.75" customHeight="1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</row>
    <row r="236" spans="1:26" ht="15.75" customHeight="1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</row>
    <row r="237" spans="1:26" ht="15.75" customHeight="1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</row>
    <row r="238" spans="1:26" ht="15.75" customHeight="1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</row>
    <row r="239" spans="1:26" ht="15.75" customHeight="1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</row>
    <row r="240" spans="1:26" ht="15.75" customHeight="1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</row>
    <row r="241" spans="1:26" ht="15.75" customHeight="1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</row>
    <row r="242" spans="1:26" ht="15.75" customHeight="1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</row>
    <row r="243" spans="1:26" ht="15.75" customHeight="1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</row>
    <row r="244" spans="1:26" ht="15.75" customHeight="1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</row>
    <row r="245" spans="1:26" ht="15.75" customHeight="1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</row>
    <row r="246" spans="1:26" ht="15.75" customHeight="1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</row>
    <row r="247" spans="1:26" ht="15.75" customHeight="1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</row>
    <row r="248" spans="1:26" ht="15.75" customHeight="1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</row>
    <row r="249" spans="1:26" ht="15.75" customHeight="1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</row>
    <row r="250" spans="1:26" ht="15.75" customHeight="1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</row>
    <row r="251" spans="1:26" ht="15.75" customHeight="1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</row>
    <row r="252" spans="1:26" ht="15.75" customHeight="1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</row>
    <row r="253" spans="1:26" ht="15.75" customHeight="1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</row>
    <row r="254" spans="1:26" ht="15.75" customHeight="1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</row>
    <row r="255" spans="1:26" ht="15.75" customHeight="1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</row>
    <row r="256" spans="1:26" ht="15.75" customHeight="1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</row>
    <row r="257" spans="1:26" ht="15.75" customHeight="1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</row>
    <row r="258" spans="1:26" ht="15.75" customHeight="1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</row>
    <row r="259" spans="1:26" ht="15.75" customHeight="1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</row>
    <row r="260" spans="1:26" ht="15.75" customHeight="1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</row>
    <row r="261" spans="1:26" ht="15.75" customHeight="1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</row>
    <row r="262" spans="1:26" ht="15.75" customHeight="1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</row>
    <row r="263" spans="1:26" ht="15.75" customHeight="1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</row>
    <row r="264" spans="1:26" ht="15.75" customHeight="1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</row>
    <row r="265" spans="1:26" ht="15.75" customHeight="1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</row>
    <row r="266" spans="1:26" ht="15.75" customHeight="1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</row>
    <row r="267" spans="1:26" ht="15.75" customHeight="1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</row>
    <row r="268" spans="1:26" ht="15.75" customHeight="1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</row>
    <row r="269" spans="1:26" ht="15.75" customHeight="1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</row>
    <row r="270" spans="1:26" ht="15.75" customHeight="1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</row>
    <row r="271" spans="1:26" ht="15.75" customHeight="1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</row>
    <row r="272" spans="1:26" ht="15.75" customHeight="1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</row>
    <row r="273" spans="1:26" ht="15.75" customHeight="1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</row>
    <row r="274" spans="1:26" ht="15.75" customHeight="1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</row>
    <row r="275" spans="1:26" ht="15.75" customHeight="1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</row>
    <row r="276" spans="1:26" ht="15.75" customHeight="1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</row>
    <row r="277" spans="1:26" ht="15.75" customHeight="1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</row>
    <row r="278" spans="1:26" ht="15.75" customHeight="1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</row>
    <row r="279" spans="1:26" ht="15.75" customHeight="1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</row>
    <row r="280" spans="1:26" ht="15.75" customHeight="1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</row>
    <row r="281" spans="1:26" ht="15.75" customHeight="1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</row>
    <row r="282" spans="1:26" ht="15.75" customHeight="1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</row>
    <row r="283" spans="1:26" ht="15.75" customHeight="1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</row>
    <row r="284" spans="1:26" ht="15.75" customHeight="1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</row>
    <row r="285" spans="1:26" ht="15.75" customHeight="1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</row>
    <row r="286" spans="1:26" ht="15.75" customHeight="1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</row>
    <row r="287" spans="1:26" ht="15.75" customHeight="1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</row>
    <row r="288" spans="1:26" ht="15.75" customHeight="1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</row>
    <row r="289" spans="1:26" ht="15.75" customHeight="1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</row>
    <row r="290" spans="1:26" ht="15.75" customHeight="1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</row>
    <row r="291" spans="1:26" ht="15.75" customHeight="1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</row>
    <row r="292" spans="1:26" ht="15.75" customHeight="1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</row>
    <row r="293" spans="1:26" ht="15.75" customHeight="1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</row>
    <row r="294" spans="1:26" ht="15.75" customHeight="1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</row>
    <row r="295" spans="1:26" ht="15.75" customHeight="1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</row>
    <row r="296" spans="1:26" ht="15.75" customHeight="1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</row>
    <row r="297" spans="1:26" ht="15.75" customHeight="1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</row>
    <row r="298" spans="1:26" ht="15.75" customHeight="1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</row>
    <row r="299" spans="1:26" ht="15.75" customHeight="1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</row>
    <row r="300" spans="1:26" ht="15.75" customHeight="1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</row>
    <row r="301" spans="1:26" ht="15.75" customHeight="1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</row>
    <row r="302" spans="1:26" ht="15.75" customHeight="1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</row>
    <row r="303" spans="1:26" ht="15.75" customHeight="1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</row>
    <row r="304" spans="1:26" ht="15.75" customHeight="1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</row>
    <row r="305" spans="1:26" ht="15.75" customHeight="1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</row>
    <row r="306" spans="1:26" ht="15.75" customHeight="1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</row>
    <row r="307" spans="1:26" ht="15.75" customHeight="1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</row>
    <row r="308" spans="1:26" ht="15.75" customHeight="1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</row>
    <row r="309" spans="1:26" ht="15.75" customHeight="1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</row>
    <row r="310" spans="1:26" ht="15.75" customHeight="1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</row>
    <row r="311" spans="1:26" ht="15.75" customHeight="1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</row>
    <row r="312" spans="1:26" ht="15.75" customHeight="1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</row>
    <row r="313" spans="1:26" ht="15.75" customHeight="1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</row>
    <row r="314" spans="1:26" ht="15.75" customHeight="1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</row>
    <row r="315" spans="1:26" ht="15.75" customHeight="1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</row>
    <row r="316" spans="1:26" ht="15.75" customHeight="1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</row>
    <row r="317" spans="1:26" ht="15.75" customHeight="1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</row>
    <row r="318" spans="1:26" ht="15.75" customHeight="1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</row>
    <row r="319" spans="1:26" ht="15.75" customHeight="1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</row>
    <row r="320" spans="1:26" ht="15.75" customHeight="1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</row>
    <row r="321" spans="1:26" ht="15.75" customHeight="1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</row>
    <row r="322" spans="1:26" ht="15.75" customHeight="1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</row>
    <row r="323" spans="1:26" ht="15.75" customHeight="1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</row>
    <row r="324" spans="1:26" ht="15.75" customHeight="1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</row>
    <row r="325" spans="1:26" ht="15.75" customHeight="1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</row>
    <row r="326" spans="1:26" ht="15.75" customHeight="1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</row>
    <row r="327" spans="1:26" ht="15.75" customHeight="1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</row>
    <row r="328" spans="1:26" ht="15.75" customHeight="1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</row>
    <row r="329" spans="1:26" ht="15.75" customHeight="1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</row>
    <row r="330" spans="1:26" ht="15.75" customHeight="1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</row>
    <row r="331" spans="1:26" ht="15.75" customHeight="1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</row>
    <row r="332" spans="1:26" ht="15.75" customHeight="1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</row>
    <row r="333" spans="1:26" ht="15.75" customHeight="1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</row>
    <row r="334" spans="1:26" ht="15.75" customHeight="1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</row>
    <row r="335" spans="1:26" ht="15.75" customHeight="1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</row>
    <row r="336" spans="1:26" ht="15.75" customHeight="1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</row>
    <row r="337" spans="1:26" ht="15.75" customHeight="1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</row>
    <row r="338" spans="1:26" ht="15.75" customHeight="1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</row>
    <row r="339" spans="1:26" ht="15.75" customHeight="1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</row>
    <row r="340" spans="1:26" ht="15.75" customHeight="1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</row>
    <row r="341" spans="1:26" ht="15.75" customHeight="1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</row>
    <row r="342" spans="1:26" ht="15.75" customHeight="1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</row>
    <row r="343" spans="1:26" ht="15.75" customHeight="1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</row>
    <row r="344" spans="1:26" ht="15.75" customHeight="1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</row>
    <row r="345" spans="1:26" ht="15.75" customHeight="1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</row>
    <row r="346" spans="1:26" ht="15.75" customHeight="1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</row>
    <row r="347" spans="1:26" ht="15.75" customHeight="1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</row>
    <row r="348" spans="1:26" ht="15.75" customHeight="1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</row>
    <row r="349" spans="1:26" ht="15.75" customHeight="1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</row>
    <row r="350" spans="1:26" ht="15.75" customHeight="1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</row>
    <row r="351" spans="1:26" ht="15.75" customHeight="1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</row>
    <row r="352" spans="1:26" ht="15.75" customHeight="1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</row>
    <row r="353" spans="1:26" ht="15.75" customHeight="1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</row>
    <row r="354" spans="1:26" ht="15.75" customHeight="1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</row>
    <row r="355" spans="1:26" ht="15.75" customHeight="1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</row>
    <row r="356" spans="1:26" ht="15.75" customHeight="1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</row>
    <row r="357" spans="1:26" ht="15.75" customHeight="1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</row>
    <row r="358" spans="1:26" ht="15.75" customHeight="1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</row>
    <row r="359" spans="1:26" ht="15.75" customHeight="1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</row>
    <row r="360" spans="1:26" ht="15.75" customHeight="1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</row>
    <row r="361" spans="1:26" ht="15.75" customHeight="1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</row>
    <row r="362" spans="1:26" ht="15.75" customHeight="1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</row>
    <row r="363" spans="1:26" ht="15.75" customHeight="1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</row>
    <row r="364" spans="1:26" ht="15.75" customHeight="1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</row>
    <row r="365" spans="1:26" ht="15.75" customHeight="1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</row>
    <row r="366" spans="1:26" ht="15.75" customHeight="1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</row>
    <row r="367" spans="1:26" ht="15.75" customHeight="1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</row>
    <row r="368" spans="1:26" ht="15.75" customHeight="1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</row>
    <row r="369" spans="1:26" ht="15.75" customHeight="1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</row>
    <row r="370" spans="1:26" ht="15.75" customHeight="1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</row>
    <row r="371" spans="1:26" ht="15.75" customHeight="1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</row>
    <row r="372" spans="1:26" ht="15.75" customHeight="1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</row>
    <row r="373" spans="1:26" ht="15.75" customHeight="1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</row>
    <row r="374" spans="1:26" ht="15.75" customHeight="1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</row>
    <row r="375" spans="1:26" ht="15.75" customHeight="1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</row>
    <row r="376" spans="1:26" ht="15.75" customHeight="1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</row>
    <row r="377" spans="1:26" ht="15.75" customHeight="1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</row>
    <row r="378" spans="1:26" ht="15.75" customHeight="1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</row>
    <row r="379" spans="1:26" ht="15.75" customHeight="1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</row>
    <row r="380" spans="1:26" ht="15.75" customHeight="1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</row>
    <row r="381" spans="1:26" ht="15.75" customHeight="1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</row>
    <row r="382" spans="1:26" ht="15.75" customHeight="1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</row>
    <row r="383" spans="1:26" ht="15.75" customHeight="1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</row>
    <row r="384" spans="1:26" ht="15.75" customHeight="1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</row>
    <row r="385" spans="1:26" ht="15.75" customHeight="1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</row>
    <row r="386" spans="1:26" ht="15.75" customHeight="1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</row>
    <row r="387" spans="1:26" ht="15.75" customHeight="1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</row>
    <row r="388" spans="1:26" ht="15.75" customHeight="1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</row>
    <row r="389" spans="1:26" ht="15.75" customHeight="1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</row>
    <row r="390" spans="1:26" ht="15.75" customHeight="1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</row>
    <row r="391" spans="1:26" ht="15.75" customHeight="1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</row>
    <row r="392" spans="1:26" ht="15.75" customHeight="1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</row>
    <row r="393" spans="1:26" ht="15.75" customHeight="1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</row>
    <row r="394" spans="1:26" ht="15.75" customHeight="1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</row>
    <row r="395" spans="1:26" ht="15.75" customHeight="1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</row>
    <row r="396" spans="1:26" ht="15.75" customHeight="1">
      <c r="A396" s="90"/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</row>
    <row r="397" spans="1:26" ht="15.75" customHeight="1">
      <c r="A397" s="90"/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</row>
    <row r="398" spans="1:26" ht="15.75" customHeight="1">
      <c r="A398" s="90"/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</row>
    <row r="399" spans="1:26" ht="15.75" customHeight="1">
      <c r="A399" s="90"/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</row>
    <row r="400" spans="1:26" ht="15.75" customHeight="1">
      <c r="A400" s="90"/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</row>
    <row r="401" spans="1:26" ht="15.75" customHeight="1">
      <c r="A401" s="90"/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</row>
    <row r="402" spans="1:26" ht="15.75" customHeight="1">
      <c r="A402" s="90"/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</row>
    <row r="403" spans="1:26" ht="15.75" customHeight="1">
      <c r="A403" s="90"/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</row>
    <row r="404" spans="1:26" ht="15.75" customHeight="1">
      <c r="A404" s="90"/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</row>
    <row r="405" spans="1:26" ht="15.75" customHeight="1">
      <c r="A405" s="90"/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</row>
    <row r="406" spans="1:26" ht="15.75" customHeight="1">
      <c r="A406" s="90"/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</row>
    <row r="407" spans="1:26" ht="15.75" customHeight="1">
      <c r="A407" s="90"/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</row>
    <row r="408" spans="1:26" ht="15.75" customHeight="1">
      <c r="A408" s="90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</row>
    <row r="409" spans="1:26" ht="15.75" customHeight="1">
      <c r="A409" s="90"/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</row>
    <row r="410" spans="1:26" ht="15.75" customHeight="1">
      <c r="A410" s="90"/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</row>
    <row r="411" spans="1:26" ht="15.75" customHeight="1">
      <c r="A411" s="90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</row>
    <row r="412" spans="1:26" ht="15.75" customHeight="1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</row>
    <row r="413" spans="1:26" ht="15.75" customHeight="1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</row>
    <row r="414" spans="1:26" ht="15.75" customHeight="1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</row>
    <row r="415" spans="1:26" ht="15.75" customHeight="1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</row>
    <row r="416" spans="1:26" ht="15.75" customHeight="1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</row>
    <row r="417" spans="1:26" ht="15.75" customHeight="1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</row>
    <row r="418" spans="1:26" ht="15.75" customHeight="1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</row>
    <row r="419" spans="1:26" ht="15.75" customHeight="1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</row>
    <row r="420" spans="1:26" ht="15.75" customHeight="1">
      <c r="A420" s="90"/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</row>
    <row r="421" spans="1:26" ht="15.75" customHeight="1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</row>
    <row r="422" spans="1:26" ht="15.75" customHeight="1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</row>
    <row r="423" spans="1:26" ht="15.75" customHeight="1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</row>
    <row r="424" spans="1:26" ht="15.75" customHeight="1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</row>
    <row r="425" spans="1:26" ht="15.75" customHeight="1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</row>
    <row r="426" spans="1:26" ht="15.75" customHeight="1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</row>
    <row r="427" spans="1:26" ht="15.75" customHeight="1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</row>
    <row r="428" spans="1:26" ht="15.75" customHeight="1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</row>
    <row r="429" spans="1:26" ht="15.75" customHeight="1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</row>
    <row r="430" spans="1:26" ht="15.75" customHeight="1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</row>
    <row r="431" spans="1:26" ht="15.75" customHeight="1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</row>
    <row r="432" spans="1:26" ht="15.75" customHeight="1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</row>
    <row r="433" spans="1:26" ht="15.75" customHeight="1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</row>
    <row r="434" spans="1:26" ht="15.75" customHeight="1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</row>
    <row r="435" spans="1:26" ht="15.75" customHeight="1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</row>
    <row r="436" spans="1:26" ht="15.75" customHeight="1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</row>
    <row r="437" spans="1:26" ht="15.75" customHeight="1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</row>
    <row r="438" spans="1:26" ht="15.75" customHeight="1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</row>
    <row r="439" spans="1:26" ht="15.75" customHeight="1">
      <c r="A439" s="90"/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</row>
    <row r="440" spans="1:26" ht="15.75" customHeight="1">
      <c r="A440" s="90"/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</row>
    <row r="441" spans="1:26" ht="15.75" customHeight="1">
      <c r="A441" s="90"/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</row>
    <row r="442" spans="1:26" ht="15.75" customHeight="1">
      <c r="A442" s="90"/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</row>
    <row r="443" spans="1:26" ht="15.75" customHeight="1">
      <c r="A443" s="90"/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</row>
    <row r="444" spans="1:26" ht="15.75" customHeight="1">
      <c r="A444" s="90"/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</row>
    <row r="445" spans="1:26" ht="15.75" customHeight="1">
      <c r="A445" s="90"/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</row>
    <row r="446" spans="1:26" ht="15.75" customHeight="1">
      <c r="A446" s="90"/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</row>
    <row r="447" spans="1:26" ht="15.75" customHeight="1">
      <c r="A447" s="90"/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</row>
    <row r="448" spans="1:26" ht="15.75" customHeight="1">
      <c r="A448" s="90"/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</row>
    <row r="449" spans="1:26" ht="15.75" customHeight="1">
      <c r="A449" s="90"/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</row>
    <row r="450" spans="1:26" ht="15.75" customHeight="1">
      <c r="A450" s="90"/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</row>
    <row r="451" spans="1:26" ht="15.75" customHeight="1">
      <c r="A451" s="90"/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</row>
    <row r="452" spans="1:26" ht="15.75" customHeight="1">
      <c r="A452" s="90"/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</row>
    <row r="453" spans="1:26" ht="15.75" customHeight="1">
      <c r="A453" s="90"/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</row>
    <row r="454" spans="1:26" ht="15.75" customHeight="1">
      <c r="A454" s="90"/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</row>
    <row r="455" spans="1:26" ht="15.75" customHeight="1">
      <c r="A455" s="90"/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</row>
    <row r="456" spans="1:26" ht="15.75" customHeight="1">
      <c r="A456" s="90"/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</row>
    <row r="457" spans="1:26" ht="15.75" customHeight="1">
      <c r="A457" s="90"/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</row>
    <row r="458" spans="1:26" ht="15.75" customHeight="1">
      <c r="A458" s="90"/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</row>
    <row r="459" spans="1:26" ht="15.75" customHeight="1">
      <c r="A459" s="90"/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</row>
    <row r="460" spans="1:26" ht="15.75" customHeight="1">
      <c r="A460" s="90"/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</row>
    <row r="461" spans="1:26" ht="15.75" customHeight="1">
      <c r="A461" s="90"/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</row>
    <row r="462" spans="1:26" ht="15.75" customHeight="1">
      <c r="A462" s="90"/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</row>
    <row r="463" spans="1:26" ht="15.75" customHeight="1">
      <c r="A463" s="90"/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</row>
    <row r="464" spans="1:26" ht="15.75" customHeight="1">
      <c r="A464" s="90"/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</row>
    <row r="465" spans="1:26" ht="15.75" customHeight="1">
      <c r="A465" s="90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</row>
    <row r="466" spans="1:26" ht="15.75" customHeight="1">
      <c r="A466" s="90"/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</row>
    <row r="467" spans="1:26" ht="15.75" customHeight="1">
      <c r="A467" s="90"/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</row>
    <row r="468" spans="1:26" ht="15.75" customHeight="1">
      <c r="A468" s="90"/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</row>
    <row r="469" spans="1:26" ht="15.75" customHeight="1">
      <c r="A469" s="90"/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</row>
    <row r="470" spans="1:26" ht="15.75" customHeight="1">
      <c r="A470" s="90"/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</row>
    <row r="471" spans="1:26" ht="15.75" customHeight="1">
      <c r="A471" s="90"/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</row>
    <row r="472" spans="1:26" ht="15.75" customHeight="1">
      <c r="A472" s="90"/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</row>
    <row r="473" spans="1:26" ht="15.75" customHeight="1">
      <c r="A473" s="90"/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</row>
    <row r="474" spans="1:26" ht="15.75" customHeight="1">
      <c r="A474" s="90"/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</row>
    <row r="475" spans="1:26" ht="15.75" customHeight="1">
      <c r="A475" s="90"/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</row>
    <row r="476" spans="1:26" ht="15.75" customHeight="1">
      <c r="A476" s="90"/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</row>
    <row r="477" spans="1:26" ht="15.75" customHeight="1">
      <c r="A477" s="90"/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</row>
    <row r="478" spans="1:26" ht="15.75" customHeight="1">
      <c r="A478" s="90"/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</row>
    <row r="479" spans="1:26" ht="15.75" customHeight="1">
      <c r="A479" s="90"/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</row>
    <row r="480" spans="1:26" ht="15.75" customHeight="1">
      <c r="A480" s="90"/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</row>
    <row r="481" spans="1:26" ht="15.75" customHeight="1">
      <c r="A481" s="90"/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</row>
    <row r="482" spans="1:26" ht="15.75" customHeight="1">
      <c r="A482" s="90"/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</row>
    <row r="483" spans="1:26" ht="15.75" customHeight="1">
      <c r="A483" s="90"/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</row>
    <row r="484" spans="1:26" ht="15.75" customHeight="1">
      <c r="A484" s="90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</row>
    <row r="485" spans="1:26" ht="15.75" customHeight="1">
      <c r="A485" s="90"/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</row>
    <row r="486" spans="1:26" ht="15.75" customHeight="1">
      <c r="A486" s="90"/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</row>
    <row r="487" spans="1:26" ht="15.75" customHeight="1">
      <c r="A487" s="90"/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</row>
    <row r="488" spans="1:26" ht="15.75" customHeight="1">
      <c r="A488" s="90"/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</row>
    <row r="489" spans="1:26" ht="15.75" customHeight="1">
      <c r="A489" s="90"/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</row>
    <row r="490" spans="1:26" ht="15.75" customHeight="1">
      <c r="A490" s="90"/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</row>
    <row r="491" spans="1:26" ht="15.75" customHeight="1">
      <c r="A491" s="90"/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</row>
    <row r="492" spans="1:26" ht="15.75" customHeight="1">
      <c r="A492" s="90"/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</row>
    <row r="493" spans="1:26" ht="15.75" customHeight="1">
      <c r="A493" s="90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</row>
    <row r="494" spans="1:26" ht="15.75" customHeight="1">
      <c r="A494" s="90"/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</row>
    <row r="495" spans="1:26" ht="15.75" customHeight="1">
      <c r="A495" s="90"/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</row>
    <row r="496" spans="1:26" ht="15.75" customHeight="1">
      <c r="A496" s="90"/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</row>
    <row r="497" spans="1:26" ht="15.75" customHeight="1">
      <c r="A497" s="90"/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</row>
    <row r="498" spans="1:26" ht="15.75" customHeight="1">
      <c r="A498" s="90"/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</row>
    <row r="499" spans="1:26" ht="15.75" customHeight="1">
      <c r="A499" s="90"/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</row>
    <row r="500" spans="1:26" ht="15.75" customHeight="1">
      <c r="A500" s="90"/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</row>
    <row r="501" spans="1:26" ht="15.75" customHeight="1">
      <c r="A501" s="90"/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</row>
    <row r="502" spans="1:26" ht="15.75" customHeight="1">
      <c r="A502" s="90"/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</row>
    <row r="503" spans="1:26" ht="15.75" customHeight="1">
      <c r="A503" s="90"/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</row>
    <row r="504" spans="1:26" ht="15.75" customHeight="1">
      <c r="A504" s="90"/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</row>
    <row r="505" spans="1:26" ht="15.75" customHeight="1">
      <c r="A505" s="90"/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</row>
    <row r="506" spans="1:26" ht="15.75" customHeight="1">
      <c r="A506" s="90"/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</row>
    <row r="507" spans="1:26" ht="15.75" customHeight="1">
      <c r="A507" s="90"/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</row>
    <row r="508" spans="1:26" ht="15.75" customHeight="1">
      <c r="A508" s="90"/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</row>
    <row r="509" spans="1:26" ht="15.75" customHeight="1">
      <c r="A509" s="90"/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</row>
    <row r="510" spans="1:26" ht="15.75" customHeight="1">
      <c r="A510" s="90"/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</row>
    <row r="511" spans="1:26" ht="15.75" customHeight="1">
      <c r="A511" s="90"/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</row>
    <row r="512" spans="1:26" ht="15.75" customHeight="1">
      <c r="A512" s="90"/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</row>
    <row r="513" spans="1:26" ht="15.75" customHeight="1">
      <c r="A513" s="90"/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</row>
    <row r="514" spans="1:26" ht="15.75" customHeight="1">
      <c r="A514" s="90"/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</row>
    <row r="515" spans="1:26" ht="15.75" customHeight="1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</row>
    <row r="516" spans="1:26" ht="15.75" customHeight="1">
      <c r="A516" s="90"/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</row>
    <row r="517" spans="1:26" ht="15.75" customHeight="1">
      <c r="A517" s="90"/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</row>
    <row r="518" spans="1:26" ht="15.75" customHeight="1">
      <c r="A518" s="90"/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</row>
    <row r="519" spans="1:26" ht="15.75" customHeight="1">
      <c r="A519" s="90"/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</row>
    <row r="520" spans="1:26" ht="15.75" customHeight="1">
      <c r="A520" s="90"/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</row>
    <row r="521" spans="1:26" ht="15.75" customHeight="1">
      <c r="A521" s="90"/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</row>
    <row r="522" spans="1:26" ht="15.75" customHeight="1">
      <c r="A522" s="90"/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</row>
    <row r="523" spans="1:26" ht="15.75" customHeight="1">
      <c r="A523" s="90"/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</row>
    <row r="524" spans="1:26" ht="15.75" customHeight="1">
      <c r="A524" s="90"/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</row>
    <row r="525" spans="1:26" ht="15.75" customHeight="1">
      <c r="A525" s="90"/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</row>
    <row r="526" spans="1:26" ht="15.75" customHeight="1">
      <c r="A526" s="90"/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</row>
    <row r="527" spans="1:26" ht="15.75" customHeight="1">
      <c r="A527" s="90"/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</row>
    <row r="528" spans="1:26" ht="15.75" customHeight="1">
      <c r="A528" s="90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</row>
    <row r="529" spans="1:26" ht="15.75" customHeight="1">
      <c r="A529" s="90"/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</row>
    <row r="530" spans="1:26" ht="15.75" customHeight="1">
      <c r="A530" s="90"/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</row>
    <row r="531" spans="1:26" ht="15.75" customHeight="1">
      <c r="A531" s="90"/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</row>
    <row r="532" spans="1:26" ht="15.75" customHeight="1">
      <c r="A532" s="90"/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</row>
    <row r="533" spans="1:26" ht="15.75" customHeight="1">
      <c r="A533" s="90"/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</row>
    <row r="534" spans="1:26" ht="15.75" customHeight="1">
      <c r="A534" s="90"/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</row>
    <row r="535" spans="1:26" ht="15.75" customHeight="1">
      <c r="A535" s="90"/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</row>
    <row r="536" spans="1:26" ht="15.75" customHeight="1">
      <c r="A536" s="90"/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</row>
    <row r="537" spans="1:26" ht="15.75" customHeight="1">
      <c r="A537" s="90"/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</row>
    <row r="538" spans="1:26" ht="15.75" customHeight="1">
      <c r="A538" s="90"/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</row>
    <row r="539" spans="1:26" ht="15.75" customHeight="1">
      <c r="A539" s="90"/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</row>
    <row r="540" spans="1:26" ht="15.75" customHeight="1">
      <c r="A540" s="90"/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</row>
    <row r="541" spans="1:26" ht="15.75" customHeight="1">
      <c r="A541" s="90"/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</row>
    <row r="542" spans="1:26" ht="15.75" customHeight="1">
      <c r="A542" s="90"/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</row>
    <row r="543" spans="1:26" ht="15.75" customHeight="1">
      <c r="A543" s="90"/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</row>
    <row r="544" spans="1:26" ht="15.75" customHeight="1">
      <c r="A544" s="90"/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</row>
    <row r="545" spans="1:26" ht="15.75" customHeight="1">
      <c r="A545" s="90"/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</row>
    <row r="546" spans="1:26" ht="15.75" customHeight="1">
      <c r="A546" s="90"/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</row>
    <row r="547" spans="1:26" ht="15.75" customHeight="1">
      <c r="A547" s="90"/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</row>
    <row r="548" spans="1:26" ht="15.75" customHeight="1">
      <c r="A548" s="90"/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</row>
    <row r="549" spans="1:26" ht="15.75" customHeight="1">
      <c r="A549" s="90"/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</row>
    <row r="550" spans="1:26" ht="15.75" customHeight="1">
      <c r="A550" s="90"/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</row>
    <row r="551" spans="1:26" ht="15.75" customHeight="1">
      <c r="A551" s="90"/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</row>
    <row r="552" spans="1:26" ht="15.75" customHeight="1">
      <c r="A552" s="90"/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</row>
    <row r="553" spans="1:26" ht="15.75" customHeight="1">
      <c r="A553" s="90"/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</row>
    <row r="554" spans="1:26" ht="15.75" customHeight="1">
      <c r="A554" s="90"/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</row>
    <row r="555" spans="1:26" ht="15.75" customHeight="1">
      <c r="A555" s="90"/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</row>
    <row r="556" spans="1:26" ht="15.75" customHeight="1">
      <c r="A556" s="90"/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</row>
    <row r="557" spans="1:26" ht="15.75" customHeight="1">
      <c r="A557" s="90"/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</row>
    <row r="558" spans="1:26" ht="15.75" customHeight="1">
      <c r="A558" s="90"/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</row>
    <row r="559" spans="1:26" ht="15.75" customHeight="1">
      <c r="A559" s="90"/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</row>
    <row r="560" spans="1:26" ht="15.75" customHeight="1">
      <c r="A560" s="90"/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</row>
    <row r="561" spans="1:26" ht="15.75" customHeight="1">
      <c r="A561" s="90"/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</row>
    <row r="562" spans="1:26" ht="15.75" customHeight="1">
      <c r="A562" s="90"/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</row>
    <row r="563" spans="1:26" ht="15.75" customHeight="1">
      <c r="A563" s="90"/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</row>
    <row r="564" spans="1:26" ht="15.75" customHeight="1">
      <c r="A564" s="90"/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</row>
    <row r="565" spans="1:26" ht="15.75" customHeight="1">
      <c r="A565" s="90"/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</row>
    <row r="566" spans="1:26" ht="15.75" customHeight="1">
      <c r="A566" s="90"/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</row>
    <row r="567" spans="1:26" ht="15.75" customHeight="1">
      <c r="A567" s="90"/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</row>
    <row r="568" spans="1:26" ht="15.75" customHeight="1">
      <c r="A568" s="90"/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</row>
    <row r="569" spans="1:26" ht="15.75" customHeight="1">
      <c r="A569" s="90"/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</row>
    <row r="570" spans="1:26" ht="15.75" customHeight="1">
      <c r="A570" s="90"/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</row>
    <row r="571" spans="1:26" ht="15.75" customHeight="1">
      <c r="A571" s="90"/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</row>
    <row r="572" spans="1:26" ht="15.75" customHeight="1">
      <c r="A572" s="90"/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</row>
    <row r="573" spans="1:26" ht="15.75" customHeight="1">
      <c r="A573" s="90"/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</row>
    <row r="574" spans="1:26" ht="15.75" customHeight="1">
      <c r="A574" s="90"/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</row>
    <row r="575" spans="1:26" ht="15.75" customHeight="1">
      <c r="A575" s="90"/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</row>
    <row r="576" spans="1:26" ht="15.75" customHeight="1">
      <c r="A576" s="90"/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</row>
    <row r="577" spans="1:26" ht="15.75" customHeight="1">
      <c r="A577" s="90"/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</row>
    <row r="578" spans="1:26" ht="15.75" customHeight="1">
      <c r="A578" s="90"/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</row>
    <row r="579" spans="1:26" ht="15.75" customHeight="1">
      <c r="A579" s="90"/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</row>
    <row r="580" spans="1:26" ht="15.75" customHeight="1">
      <c r="A580" s="90"/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</row>
    <row r="581" spans="1:26" ht="15.75" customHeight="1">
      <c r="A581" s="90"/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</row>
    <row r="582" spans="1:26" ht="15.75" customHeight="1">
      <c r="A582" s="90"/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</row>
    <row r="583" spans="1:26" ht="15.75" customHeight="1">
      <c r="A583" s="90"/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</row>
    <row r="584" spans="1:26" ht="15.75" customHeight="1">
      <c r="A584" s="90"/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</row>
    <row r="585" spans="1:26" ht="15.75" customHeight="1">
      <c r="A585" s="90"/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</row>
    <row r="586" spans="1:26" ht="15.75" customHeight="1">
      <c r="A586" s="90"/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</row>
    <row r="587" spans="1:26" ht="15.75" customHeight="1">
      <c r="A587" s="90"/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</row>
    <row r="588" spans="1:26" ht="15.75" customHeight="1">
      <c r="A588" s="90"/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</row>
    <row r="589" spans="1:26" ht="15.75" customHeight="1">
      <c r="A589" s="90"/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</row>
    <row r="590" spans="1:26" ht="15.75" customHeight="1">
      <c r="A590" s="90"/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</row>
    <row r="591" spans="1:26" ht="15.75" customHeight="1">
      <c r="A591" s="90"/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</row>
    <row r="592" spans="1:26" ht="15.75" customHeight="1">
      <c r="A592" s="90"/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</row>
    <row r="593" spans="1:26" ht="15.75" customHeight="1">
      <c r="A593" s="90"/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</row>
    <row r="594" spans="1:26" ht="15.75" customHeight="1">
      <c r="A594" s="90"/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</row>
    <row r="595" spans="1:26" ht="15.75" customHeight="1">
      <c r="A595" s="90"/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</row>
    <row r="596" spans="1:26" ht="15.75" customHeight="1">
      <c r="A596" s="90"/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</row>
    <row r="597" spans="1:26" ht="15.75" customHeight="1">
      <c r="A597" s="90"/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</row>
    <row r="598" spans="1:26" ht="15.75" customHeight="1">
      <c r="A598" s="90"/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</row>
    <row r="599" spans="1:26" ht="15.75" customHeight="1">
      <c r="A599" s="90"/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</row>
    <row r="600" spans="1:26" ht="15.75" customHeight="1">
      <c r="A600" s="90"/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</row>
    <row r="601" spans="1:26" ht="15.75" customHeight="1">
      <c r="A601" s="90"/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</row>
    <row r="602" spans="1:26" ht="15.75" customHeight="1">
      <c r="A602" s="90"/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</row>
    <row r="603" spans="1:26" ht="15.75" customHeight="1">
      <c r="A603" s="90"/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</row>
    <row r="604" spans="1:26" ht="15.75" customHeight="1">
      <c r="A604" s="90"/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</row>
    <row r="605" spans="1:26" ht="15.75" customHeight="1">
      <c r="A605" s="90"/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</row>
    <row r="606" spans="1:26" ht="15.75" customHeight="1">
      <c r="A606" s="90"/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</row>
    <row r="607" spans="1:26" ht="15.75" customHeight="1">
      <c r="A607" s="90"/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</row>
    <row r="608" spans="1:26" ht="15.75" customHeight="1">
      <c r="A608" s="90"/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</row>
    <row r="609" spans="1:26" ht="15.75" customHeight="1">
      <c r="A609" s="90"/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</row>
    <row r="610" spans="1:26" ht="15.75" customHeight="1">
      <c r="A610" s="90"/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</row>
    <row r="611" spans="1:26" ht="15.75" customHeight="1">
      <c r="A611" s="90"/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</row>
    <row r="612" spans="1:26" ht="15.75" customHeight="1">
      <c r="A612" s="90"/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</row>
    <row r="613" spans="1:26" ht="15.75" customHeight="1">
      <c r="A613" s="90"/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</row>
    <row r="614" spans="1:26" ht="15.75" customHeight="1">
      <c r="A614" s="90"/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</row>
    <row r="615" spans="1:26" ht="15.75" customHeight="1">
      <c r="A615" s="90"/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</row>
    <row r="616" spans="1:26" ht="15.75" customHeight="1">
      <c r="A616" s="90"/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</row>
    <row r="617" spans="1:26" ht="15.75" customHeight="1">
      <c r="A617" s="90"/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</row>
    <row r="618" spans="1:26" ht="15.75" customHeight="1">
      <c r="A618" s="90"/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</row>
    <row r="619" spans="1:26" ht="15.75" customHeight="1">
      <c r="A619" s="90"/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</row>
    <row r="620" spans="1:26" ht="15.75" customHeight="1">
      <c r="A620" s="90"/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</row>
    <row r="621" spans="1:26" ht="15.75" customHeight="1">
      <c r="A621" s="90"/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</row>
    <row r="622" spans="1:26" ht="15.75" customHeight="1">
      <c r="A622" s="90"/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</row>
    <row r="623" spans="1:26" ht="15.75" customHeight="1">
      <c r="A623" s="90"/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</row>
    <row r="624" spans="1:26" ht="15.75" customHeight="1">
      <c r="A624" s="90"/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</row>
    <row r="625" spans="1:26" ht="15.75" customHeight="1">
      <c r="A625" s="90"/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</row>
    <row r="626" spans="1:26" ht="15.75" customHeight="1">
      <c r="A626" s="90"/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</row>
    <row r="627" spans="1:26" ht="15.75" customHeight="1">
      <c r="A627" s="90"/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</row>
    <row r="628" spans="1:26" ht="15.75" customHeight="1">
      <c r="A628" s="90"/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</row>
    <row r="629" spans="1:26" ht="15.75" customHeight="1">
      <c r="A629" s="90"/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</row>
    <row r="630" spans="1:26" ht="15.75" customHeight="1">
      <c r="A630" s="90"/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</row>
    <row r="631" spans="1:26" ht="15.75" customHeight="1">
      <c r="A631" s="90"/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</row>
    <row r="632" spans="1:26" ht="15.75" customHeight="1">
      <c r="A632" s="90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</row>
    <row r="633" spans="1:26" ht="15.75" customHeight="1">
      <c r="A633" s="90"/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</row>
    <row r="634" spans="1:26" ht="15.75" customHeight="1">
      <c r="A634" s="90"/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</row>
    <row r="635" spans="1:26" ht="15.75" customHeight="1">
      <c r="A635" s="90"/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</row>
    <row r="636" spans="1:26" ht="15.75" customHeight="1">
      <c r="A636" s="90"/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</row>
    <row r="637" spans="1:26" ht="15.75" customHeight="1">
      <c r="A637" s="90"/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</row>
    <row r="638" spans="1:26" ht="15.75" customHeight="1">
      <c r="A638" s="90"/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</row>
    <row r="639" spans="1:26" ht="15.75" customHeight="1">
      <c r="A639" s="90"/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</row>
    <row r="640" spans="1:26" ht="15.75" customHeight="1">
      <c r="A640" s="90"/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</row>
    <row r="641" spans="1:26" ht="15.75" customHeight="1">
      <c r="A641" s="90"/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</row>
    <row r="642" spans="1:26" ht="15.75" customHeight="1">
      <c r="A642" s="90"/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</row>
    <row r="643" spans="1:26" ht="15.75" customHeight="1">
      <c r="A643" s="90"/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</row>
    <row r="644" spans="1:26" ht="15.75" customHeight="1">
      <c r="A644" s="90"/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</row>
    <row r="645" spans="1:26" ht="15.75" customHeight="1">
      <c r="A645" s="90"/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</row>
    <row r="646" spans="1:26" ht="15.75" customHeight="1">
      <c r="A646" s="90"/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</row>
    <row r="647" spans="1:26" ht="15.75" customHeight="1">
      <c r="A647" s="90"/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</row>
    <row r="648" spans="1:26" ht="15.75" customHeight="1">
      <c r="A648" s="90"/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</row>
    <row r="649" spans="1:26" ht="15.75" customHeight="1">
      <c r="A649" s="90"/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</row>
    <row r="650" spans="1:26" ht="15.75" customHeight="1">
      <c r="A650" s="90"/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</row>
    <row r="651" spans="1:26" ht="15.75" customHeight="1">
      <c r="A651" s="90"/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</row>
    <row r="652" spans="1:26" ht="15.75" customHeight="1">
      <c r="A652" s="90"/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</row>
    <row r="653" spans="1:26" ht="15.75" customHeight="1">
      <c r="A653" s="90"/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</row>
    <row r="654" spans="1:26" ht="15.75" customHeight="1">
      <c r="A654" s="90"/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</row>
    <row r="655" spans="1:26" ht="15.75" customHeight="1">
      <c r="A655" s="90"/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</row>
    <row r="656" spans="1:26" ht="15.75" customHeight="1">
      <c r="A656" s="90"/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</row>
    <row r="657" spans="1:26" ht="15.75" customHeight="1">
      <c r="A657" s="90"/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</row>
    <row r="658" spans="1:26" ht="15.75" customHeight="1">
      <c r="A658" s="90"/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</row>
    <row r="659" spans="1:26" ht="15.75" customHeight="1">
      <c r="A659" s="90"/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</row>
    <row r="660" spans="1:26" ht="15.75" customHeight="1">
      <c r="A660" s="90"/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</row>
    <row r="661" spans="1:26" ht="15.75" customHeight="1">
      <c r="A661" s="90"/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</row>
    <row r="662" spans="1:26" ht="15.75" customHeight="1">
      <c r="A662" s="90"/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</row>
    <row r="663" spans="1:26" ht="15.75" customHeight="1">
      <c r="A663" s="90"/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</row>
    <row r="664" spans="1:26" ht="15.75" customHeight="1">
      <c r="A664" s="90"/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</row>
    <row r="665" spans="1:26" ht="15.75" customHeight="1">
      <c r="A665" s="90"/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</row>
    <row r="666" spans="1:26" ht="15.75" customHeight="1">
      <c r="A666" s="90"/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</row>
    <row r="667" spans="1:26" ht="15.75" customHeight="1">
      <c r="A667" s="90"/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</row>
    <row r="668" spans="1:26" ht="15.75" customHeight="1">
      <c r="A668" s="90"/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</row>
    <row r="669" spans="1:26" ht="15.75" customHeight="1">
      <c r="A669" s="90"/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</row>
    <row r="670" spans="1:26" ht="15.75" customHeight="1">
      <c r="A670" s="90"/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</row>
    <row r="671" spans="1:26" ht="15.75" customHeight="1">
      <c r="A671" s="90"/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</row>
    <row r="672" spans="1:26" ht="15.75" customHeight="1">
      <c r="A672" s="90"/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</row>
    <row r="673" spans="1:26" ht="15.75" customHeight="1">
      <c r="A673" s="90"/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</row>
    <row r="674" spans="1:26" ht="15.75" customHeight="1">
      <c r="A674" s="90"/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</row>
    <row r="675" spans="1:26" ht="15.75" customHeight="1">
      <c r="A675" s="90"/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</row>
    <row r="676" spans="1:26" ht="15.75" customHeight="1">
      <c r="A676" s="90"/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</row>
    <row r="677" spans="1:26" ht="15.75" customHeight="1">
      <c r="A677" s="90"/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</row>
    <row r="678" spans="1:26" ht="15.75" customHeight="1">
      <c r="A678" s="90"/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</row>
    <row r="679" spans="1:26" ht="15.75" customHeight="1">
      <c r="A679" s="90"/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</row>
    <row r="680" spans="1:26" ht="15.75" customHeight="1">
      <c r="A680" s="90"/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</row>
    <row r="681" spans="1:26" ht="15.75" customHeight="1">
      <c r="A681" s="90"/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</row>
    <row r="682" spans="1:26" ht="15.75" customHeight="1">
      <c r="A682" s="90"/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</row>
    <row r="683" spans="1:26" ht="15.75" customHeight="1">
      <c r="A683" s="90"/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</row>
    <row r="684" spans="1:26" ht="15.75" customHeight="1">
      <c r="A684" s="90"/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</row>
    <row r="685" spans="1:26" ht="15.75" customHeight="1">
      <c r="A685" s="90"/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</row>
    <row r="686" spans="1:26" ht="15.75" customHeight="1">
      <c r="A686" s="90"/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</row>
    <row r="687" spans="1:26" ht="15.75" customHeight="1">
      <c r="A687" s="90"/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</row>
    <row r="688" spans="1:26" ht="15.75" customHeight="1">
      <c r="A688" s="90"/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</row>
    <row r="689" spans="1:26" ht="15.75" customHeight="1">
      <c r="A689" s="90"/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</row>
    <row r="690" spans="1:26" ht="15.75" customHeight="1">
      <c r="A690" s="90"/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</row>
    <row r="691" spans="1:26" ht="15.75" customHeight="1">
      <c r="A691" s="90"/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</row>
    <row r="692" spans="1:26" ht="15.75" customHeight="1">
      <c r="A692" s="90"/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</row>
    <row r="693" spans="1:26" ht="15.75" customHeight="1">
      <c r="A693" s="90"/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</row>
    <row r="694" spans="1:26" ht="15.75" customHeight="1">
      <c r="A694" s="90"/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</row>
    <row r="695" spans="1:26" ht="15.75" customHeight="1">
      <c r="A695" s="90"/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</row>
    <row r="696" spans="1:26" ht="15.75" customHeight="1">
      <c r="A696" s="90"/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</row>
    <row r="697" spans="1:26" ht="15.75" customHeight="1">
      <c r="A697" s="90"/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</row>
    <row r="698" spans="1:26" ht="15.75" customHeight="1">
      <c r="A698" s="90"/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</row>
    <row r="699" spans="1:26" ht="15.75" customHeight="1">
      <c r="A699" s="90"/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</row>
    <row r="700" spans="1:26" ht="15.75" customHeight="1">
      <c r="A700" s="90"/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</row>
    <row r="701" spans="1:26" ht="15.75" customHeight="1">
      <c r="A701" s="90"/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</row>
    <row r="702" spans="1:26" ht="15.75" customHeight="1">
      <c r="A702" s="90"/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</row>
    <row r="703" spans="1:26" ht="15.75" customHeight="1">
      <c r="A703" s="90"/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</row>
    <row r="704" spans="1:26" ht="15.75" customHeight="1">
      <c r="A704" s="90"/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</row>
    <row r="705" spans="1:26" ht="15.75" customHeight="1">
      <c r="A705" s="90"/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</row>
    <row r="706" spans="1:26" ht="15.75" customHeight="1">
      <c r="A706" s="90"/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</row>
    <row r="707" spans="1:26" ht="15.75" customHeight="1">
      <c r="A707" s="90"/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</row>
    <row r="708" spans="1:26" ht="15.75" customHeight="1">
      <c r="A708" s="90"/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</row>
    <row r="709" spans="1:26" ht="15.75" customHeight="1">
      <c r="A709" s="90"/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</row>
    <row r="710" spans="1:26" ht="15.75" customHeight="1">
      <c r="A710" s="90"/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</row>
    <row r="711" spans="1:26" ht="15.75" customHeight="1">
      <c r="A711" s="90"/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</row>
    <row r="712" spans="1:26" ht="15.75" customHeight="1">
      <c r="A712" s="90"/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</row>
    <row r="713" spans="1:26" ht="15.75" customHeight="1">
      <c r="A713" s="90"/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</row>
    <row r="714" spans="1:26" ht="15.75" customHeight="1">
      <c r="A714" s="90"/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</row>
    <row r="715" spans="1:26" ht="15.75" customHeight="1">
      <c r="A715" s="90"/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</row>
    <row r="716" spans="1:26" ht="15.75" customHeight="1">
      <c r="A716" s="90"/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</row>
    <row r="717" spans="1:26" ht="15.75" customHeight="1">
      <c r="A717" s="90"/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</row>
    <row r="718" spans="1:26" ht="15.75" customHeight="1">
      <c r="A718" s="90"/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</row>
    <row r="719" spans="1:26" ht="15.75" customHeight="1">
      <c r="A719" s="90"/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</row>
    <row r="720" spans="1:26" ht="15.75" customHeight="1">
      <c r="A720" s="90"/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</row>
    <row r="721" spans="1:26" ht="15.75" customHeight="1">
      <c r="A721" s="90"/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</row>
    <row r="722" spans="1:26" ht="15.75" customHeight="1">
      <c r="A722" s="90"/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</row>
    <row r="723" spans="1:26" ht="15.75" customHeight="1">
      <c r="A723" s="90"/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</row>
    <row r="724" spans="1:26" ht="15.75" customHeight="1">
      <c r="A724" s="90"/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</row>
    <row r="725" spans="1:26" ht="15.75" customHeight="1">
      <c r="A725" s="90"/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</row>
    <row r="726" spans="1:26" ht="15.75" customHeight="1">
      <c r="A726" s="90"/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</row>
    <row r="727" spans="1:26" ht="15.75" customHeight="1">
      <c r="A727" s="90"/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</row>
    <row r="728" spans="1:26" ht="15.75" customHeight="1">
      <c r="A728" s="90"/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</row>
    <row r="729" spans="1:26" ht="15.75" customHeight="1">
      <c r="A729" s="90"/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</row>
    <row r="730" spans="1:26" ht="15.75" customHeight="1">
      <c r="A730" s="90"/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</row>
    <row r="731" spans="1:26" ht="15.75" customHeight="1">
      <c r="A731" s="90"/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</row>
    <row r="732" spans="1:26" ht="15.75" customHeight="1">
      <c r="A732" s="90"/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</row>
    <row r="733" spans="1:26" ht="15.75" customHeight="1">
      <c r="A733" s="90"/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</row>
    <row r="734" spans="1:26" ht="15.75" customHeight="1">
      <c r="A734" s="90"/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</row>
    <row r="735" spans="1:26" ht="15.75" customHeight="1">
      <c r="A735" s="90"/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</row>
    <row r="736" spans="1:26" ht="15.75" customHeight="1">
      <c r="A736" s="90"/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</row>
    <row r="737" spans="1:26" ht="15.75" customHeight="1">
      <c r="A737" s="90"/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</row>
    <row r="738" spans="1:26" ht="15.75" customHeight="1">
      <c r="A738" s="90"/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</row>
    <row r="739" spans="1:26" ht="15.75" customHeight="1">
      <c r="A739" s="90"/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</row>
    <row r="740" spans="1:26" ht="15.75" customHeight="1">
      <c r="A740" s="90"/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</row>
    <row r="741" spans="1:26" ht="15.75" customHeight="1">
      <c r="A741" s="90"/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</row>
    <row r="742" spans="1:26" ht="15.75" customHeight="1">
      <c r="A742" s="90"/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</row>
    <row r="743" spans="1:26" ht="15.75" customHeight="1">
      <c r="A743" s="90"/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</row>
    <row r="744" spans="1:26" ht="15.75" customHeight="1">
      <c r="A744" s="90"/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</row>
    <row r="745" spans="1:26" ht="15.75" customHeight="1">
      <c r="A745" s="90"/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</row>
    <row r="746" spans="1:26" ht="15.75" customHeight="1">
      <c r="A746" s="90"/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</row>
    <row r="747" spans="1:26" ht="15.75" customHeight="1">
      <c r="A747" s="90"/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</row>
    <row r="748" spans="1:26" ht="15.75" customHeight="1">
      <c r="A748" s="90"/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</row>
    <row r="749" spans="1:26" ht="15.75" customHeight="1">
      <c r="A749" s="90"/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</row>
    <row r="750" spans="1:26" ht="15.75" customHeight="1">
      <c r="A750" s="90"/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</row>
    <row r="751" spans="1:26" ht="15.75" customHeight="1">
      <c r="A751" s="90"/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</row>
    <row r="752" spans="1:26" ht="15.75" customHeight="1">
      <c r="A752" s="90"/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</row>
    <row r="753" spans="1:26" ht="15.75" customHeight="1">
      <c r="A753" s="90"/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</row>
    <row r="754" spans="1:26" ht="15.75" customHeight="1">
      <c r="A754" s="90"/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</row>
    <row r="755" spans="1:26" ht="15.75" customHeight="1">
      <c r="A755" s="90"/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</row>
    <row r="756" spans="1:26" ht="15.75" customHeight="1">
      <c r="A756" s="90"/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</row>
    <row r="757" spans="1:26" ht="15.75" customHeight="1">
      <c r="A757" s="90"/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</row>
    <row r="758" spans="1:26" ht="15.75" customHeight="1">
      <c r="A758" s="90"/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</row>
    <row r="759" spans="1:26" ht="15.75" customHeight="1">
      <c r="A759" s="90"/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</row>
    <row r="760" spans="1:26" ht="15.75" customHeight="1">
      <c r="A760" s="90"/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</row>
    <row r="761" spans="1:26" ht="15.75" customHeight="1">
      <c r="A761" s="90"/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</row>
    <row r="762" spans="1:26" ht="15.75" customHeight="1">
      <c r="A762" s="90"/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</row>
    <row r="763" spans="1:26" ht="15.75" customHeight="1">
      <c r="A763" s="90"/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</row>
    <row r="764" spans="1:26" ht="15.75" customHeight="1">
      <c r="A764" s="90"/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</row>
    <row r="765" spans="1:26" ht="15.75" customHeight="1">
      <c r="A765" s="90"/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</row>
    <row r="766" spans="1:26" ht="15.75" customHeight="1">
      <c r="A766" s="90"/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</row>
    <row r="767" spans="1:26" ht="15.75" customHeight="1">
      <c r="A767" s="90"/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</row>
    <row r="768" spans="1:26" ht="15.75" customHeight="1">
      <c r="A768" s="90"/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</row>
    <row r="769" spans="1:26" ht="15.75" customHeight="1">
      <c r="A769" s="90"/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</row>
    <row r="770" spans="1:26" ht="15.75" customHeight="1">
      <c r="A770" s="90"/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</row>
    <row r="771" spans="1:26" ht="15.75" customHeight="1">
      <c r="A771" s="90"/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</row>
    <row r="772" spans="1:26" ht="15.75" customHeight="1">
      <c r="A772" s="90"/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</row>
    <row r="773" spans="1:26" ht="15.75" customHeight="1">
      <c r="A773" s="90"/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</row>
    <row r="774" spans="1:26" ht="15.75" customHeight="1">
      <c r="A774" s="90"/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</row>
    <row r="775" spans="1:26" ht="15.75" customHeight="1">
      <c r="A775" s="90"/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</row>
    <row r="776" spans="1:26" ht="15.75" customHeight="1">
      <c r="A776" s="90"/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</row>
    <row r="777" spans="1:26" ht="15.75" customHeight="1">
      <c r="A777" s="90"/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</row>
    <row r="778" spans="1:26" ht="15.75" customHeight="1">
      <c r="A778" s="90"/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</row>
    <row r="779" spans="1:26" ht="15.75" customHeight="1">
      <c r="A779" s="90"/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</row>
    <row r="780" spans="1:26" ht="15.75" customHeight="1">
      <c r="A780" s="90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</row>
    <row r="781" spans="1:26" ht="15.75" customHeight="1">
      <c r="A781" s="90"/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</row>
    <row r="782" spans="1:26" ht="15.75" customHeight="1">
      <c r="A782" s="90"/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</row>
    <row r="783" spans="1:26" ht="15.75" customHeight="1">
      <c r="A783" s="90"/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</row>
    <row r="784" spans="1:26" ht="15.75" customHeight="1">
      <c r="A784" s="90"/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</row>
    <row r="785" spans="1:26" ht="15.75" customHeight="1">
      <c r="A785" s="90"/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</row>
    <row r="786" spans="1:26" ht="15.75" customHeight="1">
      <c r="A786" s="90"/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</row>
    <row r="787" spans="1:26" ht="15.75" customHeight="1">
      <c r="A787" s="90"/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</row>
    <row r="788" spans="1:26" ht="15.75" customHeight="1">
      <c r="A788" s="90"/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</row>
    <row r="789" spans="1:26" ht="15.75" customHeight="1">
      <c r="A789" s="90"/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</row>
    <row r="790" spans="1:26" ht="15.75" customHeight="1">
      <c r="A790" s="90"/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</row>
    <row r="791" spans="1:26" ht="15.75" customHeight="1">
      <c r="A791" s="90"/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</row>
    <row r="792" spans="1:26" ht="15.75" customHeight="1">
      <c r="A792" s="90"/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</row>
    <row r="793" spans="1:26" ht="15.75" customHeight="1">
      <c r="A793" s="90"/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</row>
    <row r="794" spans="1:26" ht="15.75" customHeight="1">
      <c r="A794" s="90"/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</row>
    <row r="795" spans="1:26" ht="15.75" customHeight="1">
      <c r="A795" s="90"/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</row>
    <row r="796" spans="1:26" ht="15.75" customHeight="1">
      <c r="A796" s="90"/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</row>
    <row r="797" spans="1:26" ht="15.75" customHeight="1">
      <c r="A797" s="90"/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</row>
    <row r="798" spans="1:26" ht="15.75" customHeight="1">
      <c r="A798" s="90"/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</row>
    <row r="799" spans="1:26" ht="15.75" customHeight="1">
      <c r="A799" s="90"/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</row>
    <row r="800" spans="1:26" ht="15.75" customHeight="1">
      <c r="A800" s="90"/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</row>
    <row r="801" spans="1:26" ht="15.75" customHeight="1">
      <c r="A801" s="90"/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</row>
    <row r="802" spans="1:26" ht="15.75" customHeight="1">
      <c r="A802" s="90"/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</row>
    <row r="803" spans="1:26" ht="15.75" customHeight="1">
      <c r="A803" s="90"/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</row>
    <row r="804" spans="1:26" ht="15.75" customHeight="1">
      <c r="A804" s="90"/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</row>
    <row r="805" spans="1:26" ht="15.75" customHeight="1">
      <c r="A805" s="90"/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</row>
    <row r="806" spans="1:26" ht="15.75" customHeight="1">
      <c r="A806" s="90"/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</row>
    <row r="807" spans="1:26" ht="15.75" customHeight="1">
      <c r="A807" s="90"/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</row>
    <row r="808" spans="1:26" ht="15.75" customHeight="1">
      <c r="A808" s="90"/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</row>
    <row r="809" spans="1:26" ht="15.75" customHeight="1">
      <c r="A809" s="90"/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</row>
    <row r="810" spans="1:26" ht="15.75" customHeight="1">
      <c r="A810" s="90"/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</row>
    <row r="811" spans="1:26" ht="15.75" customHeight="1">
      <c r="A811" s="90"/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</row>
    <row r="812" spans="1:26" ht="15.75" customHeight="1">
      <c r="A812" s="90"/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</row>
    <row r="813" spans="1:26" ht="15.75" customHeight="1">
      <c r="A813" s="90"/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</row>
    <row r="814" spans="1:26" ht="15.75" customHeight="1">
      <c r="A814" s="90"/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</row>
    <row r="815" spans="1:26" ht="15.75" customHeight="1">
      <c r="A815" s="90"/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</row>
    <row r="816" spans="1:26" ht="15.75" customHeight="1">
      <c r="A816" s="90"/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</row>
    <row r="817" spans="1:26" ht="15.75" customHeight="1">
      <c r="A817" s="90"/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</row>
    <row r="818" spans="1:26" ht="15.75" customHeight="1">
      <c r="A818" s="90"/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</row>
    <row r="819" spans="1:26" ht="15.75" customHeight="1">
      <c r="A819" s="90"/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</row>
    <row r="820" spans="1:26" ht="15.75" customHeight="1">
      <c r="A820" s="90"/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</row>
    <row r="821" spans="1:26" ht="15.75" customHeight="1">
      <c r="A821" s="90"/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</row>
    <row r="822" spans="1:26" ht="15.75" customHeight="1">
      <c r="A822" s="90"/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</row>
    <row r="823" spans="1:26" ht="15.75" customHeight="1">
      <c r="A823" s="90"/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</row>
    <row r="824" spans="1:26" ht="15.75" customHeight="1">
      <c r="A824" s="90"/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</row>
    <row r="825" spans="1:26" ht="15.75" customHeight="1">
      <c r="A825" s="90"/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</row>
    <row r="826" spans="1:26" ht="15.75" customHeight="1">
      <c r="A826" s="90"/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</row>
    <row r="827" spans="1:26" ht="15.75" customHeight="1">
      <c r="A827" s="90"/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</row>
    <row r="828" spans="1:26" ht="15.75" customHeight="1">
      <c r="A828" s="90"/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</row>
    <row r="829" spans="1:26" ht="15.75" customHeight="1">
      <c r="A829" s="90"/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</row>
    <row r="830" spans="1:26" ht="15.75" customHeight="1">
      <c r="A830" s="90"/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</row>
    <row r="831" spans="1:26" ht="15.75" customHeight="1">
      <c r="A831" s="90"/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</row>
    <row r="832" spans="1:26" ht="15.75" customHeight="1">
      <c r="A832" s="90"/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</row>
    <row r="833" spans="1:26" ht="15.75" customHeight="1">
      <c r="A833" s="90"/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</row>
    <row r="834" spans="1:26" ht="15.75" customHeight="1">
      <c r="A834" s="90"/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</row>
    <row r="835" spans="1:26" ht="15.75" customHeight="1">
      <c r="A835" s="90"/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</row>
    <row r="836" spans="1:26" ht="15.75" customHeight="1">
      <c r="A836" s="90"/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</row>
    <row r="837" spans="1:26" ht="15.75" customHeight="1">
      <c r="A837" s="90"/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</row>
    <row r="838" spans="1:26" ht="15.75" customHeight="1">
      <c r="A838" s="90"/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</row>
    <row r="839" spans="1:26" ht="15.75" customHeight="1">
      <c r="A839" s="90"/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</row>
    <row r="840" spans="1:26" ht="15.75" customHeight="1">
      <c r="A840" s="90"/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</row>
    <row r="841" spans="1:26" ht="15.75" customHeight="1">
      <c r="A841" s="90"/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</row>
    <row r="842" spans="1:26" ht="15.75" customHeight="1">
      <c r="A842" s="90"/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</row>
    <row r="843" spans="1:26" ht="15.75" customHeight="1">
      <c r="A843" s="90"/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</row>
    <row r="844" spans="1:26" ht="15.75" customHeight="1">
      <c r="A844" s="90"/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</row>
    <row r="845" spans="1:26" ht="15.75" customHeight="1">
      <c r="A845" s="90"/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</row>
    <row r="846" spans="1:26" ht="15.75" customHeight="1">
      <c r="A846" s="90"/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</row>
    <row r="847" spans="1:26" ht="15.75" customHeight="1">
      <c r="A847" s="90"/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</row>
    <row r="848" spans="1:26" ht="15.75" customHeight="1">
      <c r="A848" s="90"/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</row>
    <row r="849" spans="1:26" ht="15.75" customHeight="1">
      <c r="A849" s="90"/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</row>
    <row r="850" spans="1:26" ht="15.75" customHeight="1">
      <c r="A850" s="90"/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</row>
    <row r="851" spans="1:26" ht="15.75" customHeight="1">
      <c r="A851" s="90"/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</row>
    <row r="852" spans="1:26" ht="15.75" customHeight="1">
      <c r="A852" s="90"/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</row>
    <row r="853" spans="1:26" ht="15.75" customHeight="1">
      <c r="A853" s="90"/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</row>
    <row r="854" spans="1:26" ht="15.75" customHeight="1">
      <c r="A854" s="90"/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</row>
    <row r="855" spans="1:26" ht="15.75" customHeight="1">
      <c r="A855" s="90"/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</row>
    <row r="856" spans="1:26" ht="15.75" customHeight="1">
      <c r="A856" s="90"/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</row>
    <row r="857" spans="1:26" ht="15.75" customHeight="1">
      <c r="A857" s="90"/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</row>
    <row r="858" spans="1:26" ht="15.75" customHeight="1">
      <c r="A858" s="90"/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</row>
    <row r="859" spans="1:26" ht="15.75" customHeight="1">
      <c r="A859" s="90"/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</row>
    <row r="860" spans="1:26" ht="15.75" customHeight="1">
      <c r="A860" s="90"/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</row>
    <row r="861" spans="1:26" ht="15.75" customHeight="1">
      <c r="A861" s="90"/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</row>
    <row r="862" spans="1:26" ht="15.75" customHeight="1">
      <c r="A862" s="90"/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</row>
    <row r="863" spans="1:26" ht="15.75" customHeight="1">
      <c r="A863" s="90"/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</row>
    <row r="864" spans="1:26" ht="15.75" customHeight="1">
      <c r="A864" s="90"/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</row>
    <row r="865" spans="1:26" ht="15.75" customHeight="1">
      <c r="A865" s="90"/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</row>
    <row r="866" spans="1:26" ht="15.75" customHeight="1">
      <c r="A866" s="90"/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</row>
    <row r="867" spans="1:26" ht="15.75" customHeight="1">
      <c r="A867" s="90"/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</row>
    <row r="868" spans="1:26" ht="15.75" customHeight="1">
      <c r="A868" s="90"/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</row>
    <row r="869" spans="1:26" ht="15.75" customHeight="1">
      <c r="A869" s="90"/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</row>
    <row r="870" spans="1:26" ht="15.75" customHeight="1">
      <c r="A870" s="90"/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</row>
    <row r="871" spans="1:26" ht="15.75" customHeight="1">
      <c r="A871" s="90"/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</row>
    <row r="872" spans="1:26" ht="15.75" customHeight="1">
      <c r="A872" s="90"/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</row>
    <row r="873" spans="1:26" ht="15.75" customHeight="1">
      <c r="A873" s="90"/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</row>
    <row r="874" spans="1:26" ht="15.75" customHeight="1">
      <c r="A874" s="90"/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</row>
    <row r="875" spans="1:26" ht="15.75" customHeight="1">
      <c r="A875" s="90"/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</row>
    <row r="876" spans="1:26" ht="15.75" customHeight="1">
      <c r="A876" s="90"/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</row>
    <row r="877" spans="1:26" ht="15.75" customHeight="1">
      <c r="A877" s="90"/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</row>
    <row r="878" spans="1:26" ht="15.75" customHeight="1">
      <c r="A878" s="90"/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</row>
    <row r="879" spans="1:26" ht="15.75" customHeight="1">
      <c r="A879" s="90"/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</row>
    <row r="880" spans="1:26" ht="15.75" customHeight="1">
      <c r="A880" s="90"/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</row>
    <row r="881" spans="1:26" ht="15.75" customHeight="1">
      <c r="A881" s="90"/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</row>
    <row r="882" spans="1:26" ht="15.75" customHeight="1">
      <c r="A882" s="90"/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</row>
    <row r="883" spans="1:26" ht="15.75" customHeight="1">
      <c r="A883" s="90"/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</row>
    <row r="884" spans="1:26" ht="15.75" customHeight="1">
      <c r="A884" s="90"/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</row>
    <row r="885" spans="1:26" ht="15.75" customHeight="1">
      <c r="A885" s="90"/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</row>
    <row r="886" spans="1:26" ht="15.75" customHeight="1">
      <c r="A886" s="90"/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</row>
    <row r="887" spans="1:26" ht="15.75" customHeight="1">
      <c r="A887" s="90"/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</row>
    <row r="888" spans="1:26" ht="15.75" customHeight="1">
      <c r="A888" s="90"/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</row>
    <row r="889" spans="1:26" ht="15.75" customHeight="1">
      <c r="A889" s="90"/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</row>
    <row r="890" spans="1:26" ht="15.75" customHeight="1">
      <c r="A890" s="90"/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</row>
    <row r="891" spans="1:26" ht="15.75" customHeight="1">
      <c r="A891" s="90"/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</row>
    <row r="892" spans="1:26" ht="15.75" customHeight="1">
      <c r="A892" s="90"/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</row>
    <row r="893" spans="1:26" ht="15.75" customHeight="1">
      <c r="A893" s="90"/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</row>
    <row r="894" spans="1:26" ht="15.75" customHeight="1">
      <c r="A894" s="90"/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</row>
    <row r="895" spans="1:26" ht="15.75" customHeight="1">
      <c r="A895" s="90"/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</row>
    <row r="896" spans="1:26" ht="15.75" customHeight="1">
      <c r="A896" s="90"/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</row>
    <row r="897" spans="1:26" ht="15.75" customHeight="1">
      <c r="A897" s="90"/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</row>
    <row r="898" spans="1:26" ht="15.75" customHeight="1">
      <c r="A898" s="90"/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</row>
    <row r="899" spans="1:26" ht="15.75" customHeight="1">
      <c r="A899" s="90"/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</row>
    <row r="900" spans="1:26" ht="15.75" customHeight="1">
      <c r="A900" s="90"/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</row>
    <row r="901" spans="1:26" ht="15.75" customHeight="1">
      <c r="A901" s="90"/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</row>
    <row r="902" spans="1:26" ht="15.75" customHeight="1">
      <c r="A902" s="90"/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</row>
    <row r="903" spans="1:26" ht="15.75" customHeight="1">
      <c r="A903" s="90"/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</row>
    <row r="904" spans="1:26" ht="15.75" customHeight="1">
      <c r="A904" s="90"/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</row>
    <row r="905" spans="1:26" ht="15.75" customHeight="1">
      <c r="A905" s="90"/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</row>
    <row r="906" spans="1:26" ht="15.75" customHeight="1">
      <c r="A906" s="90"/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</row>
    <row r="907" spans="1:26" ht="15.75" customHeight="1">
      <c r="A907" s="90"/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</row>
    <row r="908" spans="1:26" ht="15.75" customHeight="1">
      <c r="A908" s="90"/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</row>
    <row r="909" spans="1:26" ht="15.75" customHeight="1">
      <c r="A909" s="90"/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</row>
    <row r="910" spans="1:26" ht="15.75" customHeight="1">
      <c r="A910" s="90"/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</row>
    <row r="911" spans="1:26" ht="15.75" customHeight="1">
      <c r="A911" s="90"/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</row>
    <row r="912" spans="1:26" ht="15.75" customHeight="1">
      <c r="A912" s="90"/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</row>
    <row r="913" spans="1:26" ht="15.75" customHeight="1">
      <c r="A913" s="90"/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</row>
    <row r="914" spans="1:26" ht="15.75" customHeight="1">
      <c r="A914" s="90"/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</row>
    <row r="915" spans="1:26" ht="15.75" customHeight="1">
      <c r="A915" s="90"/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</row>
    <row r="916" spans="1:26" ht="15.75" customHeight="1">
      <c r="A916" s="90"/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</row>
    <row r="917" spans="1:26" ht="15.75" customHeight="1">
      <c r="A917" s="90"/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</row>
    <row r="918" spans="1:26" ht="15.75" customHeight="1">
      <c r="A918" s="90"/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</row>
    <row r="919" spans="1:26" ht="15.75" customHeight="1">
      <c r="A919" s="90"/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</row>
    <row r="920" spans="1:26" ht="15.75" customHeight="1">
      <c r="A920" s="90"/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</row>
    <row r="921" spans="1:26" ht="15.75" customHeight="1">
      <c r="A921" s="90"/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</row>
    <row r="922" spans="1:26" ht="15.75" customHeight="1">
      <c r="A922" s="90"/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</row>
    <row r="923" spans="1:26" ht="15.75" customHeight="1">
      <c r="A923" s="90"/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</row>
    <row r="924" spans="1:26" ht="15.75" customHeight="1">
      <c r="A924" s="90"/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</row>
    <row r="925" spans="1:26" ht="15.75" customHeight="1">
      <c r="A925" s="90"/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</row>
    <row r="926" spans="1:26" ht="15.75" customHeight="1">
      <c r="A926" s="90"/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</row>
    <row r="927" spans="1:26" ht="15.75" customHeight="1">
      <c r="A927" s="90"/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</row>
    <row r="928" spans="1:26" ht="15.75" customHeight="1">
      <c r="A928" s="90"/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</row>
    <row r="929" spans="1:26" ht="15.75" customHeight="1">
      <c r="A929" s="90"/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</row>
    <row r="930" spans="1:26" ht="15.75" customHeight="1">
      <c r="A930" s="90"/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</row>
    <row r="931" spans="1:26" ht="15.75" customHeight="1">
      <c r="A931" s="90"/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</row>
    <row r="932" spans="1:26" ht="15.75" customHeight="1">
      <c r="A932" s="90"/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</row>
    <row r="933" spans="1:26" ht="15.75" customHeight="1">
      <c r="A933" s="90"/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</row>
    <row r="934" spans="1:26" ht="15.75" customHeight="1">
      <c r="A934" s="90"/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</row>
    <row r="935" spans="1:26" ht="15.75" customHeight="1">
      <c r="A935" s="90"/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</row>
    <row r="936" spans="1:26" ht="15.75" customHeight="1">
      <c r="A936" s="90"/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</row>
    <row r="937" spans="1:26" ht="15.75" customHeight="1">
      <c r="A937" s="90"/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</row>
    <row r="938" spans="1:26" ht="15.75" customHeight="1">
      <c r="A938" s="90"/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</row>
    <row r="939" spans="1:26" ht="15.75" customHeight="1">
      <c r="A939" s="90"/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</row>
    <row r="940" spans="1:26" ht="15.75" customHeight="1">
      <c r="A940" s="90"/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</row>
    <row r="941" spans="1:26" ht="15.75" customHeight="1">
      <c r="A941" s="90"/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</row>
    <row r="942" spans="1:26" ht="15.75" customHeight="1">
      <c r="A942" s="90"/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</row>
    <row r="943" spans="1:26" ht="15.75" customHeight="1">
      <c r="A943" s="90"/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</row>
    <row r="944" spans="1:26" ht="15.75" customHeight="1">
      <c r="A944" s="90"/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</row>
    <row r="945" spans="1:26" ht="15.75" customHeight="1">
      <c r="A945" s="90"/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</row>
    <row r="946" spans="1:26" ht="15.75" customHeight="1">
      <c r="A946" s="90"/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</row>
    <row r="947" spans="1:26" ht="15.75" customHeight="1">
      <c r="A947" s="90"/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</row>
    <row r="948" spans="1:26" ht="15.75" customHeight="1">
      <c r="A948" s="90"/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</row>
    <row r="949" spans="1:26" ht="15.75" customHeight="1">
      <c r="A949" s="90"/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</row>
    <row r="950" spans="1:26" ht="15.75" customHeight="1">
      <c r="A950" s="90"/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</row>
    <row r="951" spans="1:26" ht="15.75" customHeight="1">
      <c r="A951" s="90"/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</row>
    <row r="952" spans="1:26" ht="15.75" customHeight="1">
      <c r="A952" s="90"/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</row>
    <row r="953" spans="1:26" ht="15.75" customHeight="1">
      <c r="A953" s="90"/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</row>
    <row r="954" spans="1:26" ht="15.75" customHeight="1">
      <c r="A954" s="90"/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</row>
    <row r="955" spans="1:26" ht="15.75" customHeight="1">
      <c r="A955" s="90"/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</row>
    <row r="956" spans="1:26" ht="15.75" customHeight="1">
      <c r="A956" s="90"/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</row>
    <row r="957" spans="1:26" ht="15.75" customHeight="1">
      <c r="A957" s="90"/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</row>
    <row r="958" spans="1:26" ht="15.75" customHeight="1">
      <c r="A958" s="90"/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</row>
    <row r="959" spans="1:26" ht="15.75" customHeight="1">
      <c r="A959" s="90"/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</row>
    <row r="960" spans="1:26" ht="15.75" customHeight="1">
      <c r="A960" s="90"/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</row>
    <row r="961" spans="1:26" ht="15.75" customHeight="1">
      <c r="A961" s="90"/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</row>
    <row r="962" spans="1:26" ht="15.75" customHeight="1">
      <c r="A962" s="90"/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</row>
    <row r="963" spans="1:26" ht="15.75" customHeight="1">
      <c r="A963" s="90"/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</row>
    <row r="964" spans="1:26" ht="15.75" customHeight="1">
      <c r="A964" s="90"/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</row>
    <row r="965" spans="1:26" ht="15.75" customHeight="1">
      <c r="A965" s="90"/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</row>
    <row r="966" spans="1:26" ht="15.75" customHeight="1">
      <c r="A966" s="90"/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</row>
    <row r="967" spans="1:26" ht="15.75" customHeight="1">
      <c r="A967" s="90"/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</row>
    <row r="968" spans="1:26" ht="15.75" customHeight="1">
      <c r="A968" s="90"/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</row>
    <row r="969" spans="1:26" ht="15.75" customHeight="1">
      <c r="A969" s="90"/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</row>
    <row r="970" spans="1:26" ht="15.75" customHeight="1">
      <c r="A970" s="90"/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</row>
    <row r="971" spans="1:26" ht="15.75" customHeight="1">
      <c r="A971" s="90"/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</row>
    <row r="972" spans="1:26" ht="15.75" customHeight="1">
      <c r="A972" s="90"/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</row>
    <row r="973" spans="1:26" ht="15.75" customHeight="1">
      <c r="A973" s="90"/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</row>
    <row r="974" spans="1:26" ht="15.75" customHeight="1">
      <c r="A974" s="90"/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</row>
    <row r="975" spans="1:26" ht="15.75" customHeight="1">
      <c r="A975" s="90"/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</row>
    <row r="976" spans="1:26" ht="15.75" customHeight="1">
      <c r="A976" s="90"/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</row>
    <row r="977" spans="1:26" ht="15.75" customHeight="1">
      <c r="A977" s="90"/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</row>
    <row r="978" spans="1:26" ht="15.75" customHeight="1">
      <c r="A978" s="90"/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</row>
    <row r="979" spans="1:26" ht="15.75" customHeight="1">
      <c r="A979" s="90"/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</row>
    <row r="980" spans="1:26" ht="15.75" customHeight="1">
      <c r="A980" s="90"/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</row>
    <row r="981" spans="1:26" ht="15.75" customHeight="1">
      <c r="A981" s="90"/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</row>
    <row r="982" spans="1:26" ht="15.75" customHeight="1">
      <c r="A982" s="90"/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</row>
    <row r="983" spans="1:26" ht="15.75" customHeight="1">
      <c r="A983" s="90"/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</row>
    <row r="984" spans="1:26" ht="15.75" customHeight="1">
      <c r="A984" s="90"/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</row>
    <row r="985" spans="1:26" ht="15.75" customHeight="1">
      <c r="A985" s="90"/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</row>
    <row r="986" spans="1:26" ht="15.75" customHeight="1">
      <c r="A986" s="90"/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</row>
    <row r="987" spans="1:26" ht="15.75" customHeight="1">
      <c r="A987" s="90"/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</row>
    <row r="988" spans="1:26" ht="15.75" customHeight="1">
      <c r="A988" s="90"/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</row>
    <row r="989" spans="1:26" ht="15.75" customHeight="1">
      <c r="A989" s="90"/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</row>
    <row r="990" spans="1:26" ht="15.75" customHeight="1">
      <c r="A990" s="90"/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</row>
    <row r="991" spans="1:26" ht="15.75" customHeight="1">
      <c r="A991" s="90"/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</row>
    <row r="992" spans="1:26" ht="15.75" customHeight="1">
      <c r="A992" s="90"/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</row>
    <row r="993" spans="1:26" ht="15.75" customHeight="1">
      <c r="A993" s="90"/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</row>
    <row r="994" spans="1:26" ht="15.75" customHeight="1">
      <c r="A994" s="90"/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</row>
    <row r="995" spans="1:26" ht="15.75" customHeight="1">
      <c r="A995" s="90"/>
      <c r="B995" s="90"/>
      <c r="C995" s="90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  <c r="W995" s="90"/>
      <c r="X995" s="90"/>
      <c r="Y995" s="90"/>
      <c r="Z995" s="90"/>
    </row>
    <row r="996" spans="1:26" ht="15.75" customHeight="1">
      <c r="A996" s="90"/>
      <c r="B996" s="90"/>
      <c r="C996" s="90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  <c r="W996" s="90"/>
      <c r="X996" s="90"/>
      <c r="Y996" s="90"/>
      <c r="Z996" s="90"/>
    </row>
    <row r="997" spans="1:26" ht="15.75" customHeight="1">
      <c r="A997" s="90"/>
      <c r="B997" s="90"/>
      <c r="C997" s="90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  <c r="W997" s="90"/>
      <c r="X997" s="90"/>
      <c r="Y997" s="90"/>
      <c r="Z997" s="90"/>
    </row>
    <row r="998" spans="1:26" ht="15.75" customHeight="1">
      <c r="A998" s="90"/>
      <c r="B998" s="90"/>
      <c r="C998" s="90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  <c r="W998" s="90"/>
      <c r="X998" s="90"/>
      <c r="Y998" s="90"/>
      <c r="Z998" s="90"/>
    </row>
    <row r="999" spans="1:26" ht="15.75" customHeight="1">
      <c r="A999" s="90"/>
      <c r="B999" s="90"/>
      <c r="C999" s="90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  <c r="W999" s="90"/>
      <c r="X999" s="90"/>
      <c r="Y999" s="90"/>
      <c r="Z999" s="90"/>
    </row>
    <row r="1000" spans="1:26" ht="15.75" customHeight="1">
      <c r="A1000" s="90"/>
      <c r="B1000" s="90"/>
      <c r="C1000" s="90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  <c r="W1000" s="90"/>
      <c r="X1000" s="90"/>
      <c r="Y1000" s="90"/>
      <c r="Z1000" s="90"/>
    </row>
  </sheetData>
  <mergeCells count="141">
    <mergeCell ref="J49:J51"/>
    <mergeCell ref="F50:G50"/>
    <mergeCell ref="B52:B54"/>
    <mergeCell ref="C52:C54"/>
    <mergeCell ref="D52:D54"/>
    <mergeCell ref="E52:E54"/>
    <mergeCell ref="H52:H54"/>
    <mergeCell ref="I52:I54"/>
    <mergeCell ref="J52:J54"/>
    <mergeCell ref="F53:G53"/>
    <mergeCell ref="B49:B51"/>
    <mergeCell ref="C49:C51"/>
    <mergeCell ref="D49:D51"/>
    <mergeCell ref="E49:E51"/>
    <mergeCell ref="H49:H50"/>
    <mergeCell ref="I49:I51"/>
    <mergeCell ref="J43:J45"/>
    <mergeCell ref="F44:G44"/>
    <mergeCell ref="C46:C48"/>
    <mergeCell ref="H46:H48"/>
    <mergeCell ref="I46:I48"/>
    <mergeCell ref="J46:J48"/>
    <mergeCell ref="F47:G47"/>
    <mergeCell ref="B43:B48"/>
    <mergeCell ref="C43:C45"/>
    <mergeCell ref="D43:D48"/>
    <mergeCell ref="E43:E48"/>
    <mergeCell ref="H43:H45"/>
    <mergeCell ref="I43:I45"/>
    <mergeCell ref="C40:C42"/>
    <mergeCell ref="H40:H42"/>
    <mergeCell ref="I40:I42"/>
    <mergeCell ref="J40:J42"/>
    <mergeCell ref="F41:G41"/>
    <mergeCell ref="B37:B42"/>
    <mergeCell ref="C37:C39"/>
    <mergeCell ref="D37:D42"/>
    <mergeCell ref="E37:E42"/>
    <mergeCell ref="H37:H39"/>
    <mergeCell ref="I37:I39"/>
    <mergeCell ref="F32:G32"/>
    <mergeCell ref="C34:C36"/>
    <mergeCell ref="H34:H36"/>
    <mergeCell ref="I34:I36"/>
    <mergeCell ref="J34:J36"/>
    <mergeCell ref="F35:G35"/>
    <mergeCell ref="J28:J30"/>
    <mergeCell ref="F29:G29"/>
    <mergeCell ref="A31:A54"/>
    <mergeCell ref="B31:B36"/>
    <mergeCell ref="C31:C33"/>
    <mergeCell ref="D31:D36"/>
    <mergeCell ref="E31:E36"/>
    <mergeCell ref="H31:H33"/>
    <mergeCell ref="I31:I33"/>
    <mergeCell ref="J31:J33"/>
    <mergeCell ref="B28:B30"/>
    <mergeCell ref="C28:C30"/>
    <mergeCell ref="D28:D30"/>
    <mergeCell ref="E28:E30"/>
    <mergeCell ref="H28:H30"/>
    <mergeCell ref="I28:I30"/>
    <mergeCell ref="J37:J39"/>
    <mergeCell ref="F38:G38"/>
    <mergeCell ref="J19:J21"/>
    <mergeCell ref="F20:G20"/>
    <mergeCell ref="J22:J24"/>
    <mergeCell ref="F23:G23"/>
    <mergeCell ref="B25:B27"/>
    <mergeCell ref="C25:C27"/>
    <mergeCell ref="D25:D27"/>
    <mergeCell ref="E25:E27"/>
    <mergeCell ref="H25:H27"/>
    <mergeCell ref="I25:I27"/>
    <mergeCell ref="J25:J27"/>
    <mergeCell ref="F26:G26"/>
    <mergeCell ref="B22:B24"/>
    <mergeCell ref="C22:C24"/>
    <mergeCell ref="D22:D24"/>
    <mergeCell ref="E22:E24"/>
    <mergeCell ref="H22:H24"/>
    <mergeCell ref="I22:I24"/>
    <mergeCell ref="I13:I15"/>
    <mergeCell ref="J13:J15"/>
    <mergeCell ref="F14:G14"/>
    <mergeCell ref="A16:A30"/>
    <mergeCell ref="B16:B18"/>
    <mergeCell ref="C16:C18"/>
    <mergeCell ref="D16:D18"/>
    <mergeCell ref="E16:E18"/>
    <mergeCell ref="H16:H18"/>
    <mergeCell ref="I16:I18"/>
    <mergeCell ref="A13:A15"/>
    <mergeCell ref="B13:B15"/>
    <mergeCell ref="C13:C15"/>
    <mergeCell ref="D13:D15"/>
    <mergeCell ref="E13:E15"/>
    <mergeCell ref="H13:H15"/>
    <mergeCell ref="J16:J18"/>
    <mergeCell ref="F17:G17"/>
    <mergeCell ref="B19:B21"/>
    <mergeCell ref="C19:C21"/>
    <mergeCell ref="D19:D21"/>
    <mergeCell ref="E19:E21"/>
    <mergeCell ref="H19:H21"/>
    <mergeCell ref="I19:I21"/>
    <mergeCell ref="J8:J9"/>
    <mergeCell ref="A10:A12"/>
    <mergeCell ref="B10:B12"/>
    <mergeCell ref="C10:C12"/>
    <mergeCell ref="D10:D12"/>
    <mergeCell ref="E10:E12"/>
    <mergeCell ref="H10:H12"/>
    <mergeCell ref="I10:I12"/>
    <mergeCell ref="J10:J12"/>
    <mergeCell ref="F11:G11"/>
    <mergeCell ref="A8:A9"/>
    <mergeCell ref="B8:B9"/>
    <mergeCell ref="C8:E8"/>
    <mergeCell ref="F8:G9"/>
    <mergeCell ref="H8:H9"/>
    <mergeCell ref="I8:I9"/>
    <mergeCell ref="A7:B7"/>
    <mergeCell ref="C7:E7"/>
    <mergeCell ref="F7:H7"/>
    <mergeCell ref="I7:J7"/>
    <mergeCell ref="B4:C4"/>
    <mergeCell ref="F4:G4"/>
    <mergeCell ref="A5:B5"/>
    <mergeCell ref="C5:E5"/>
    <mergeCell ref="F5:G6"/>
    <mergeCell ref="H5:H6"/>
    <mergeCell ref="A1:B2"/>
    <mergeCell ref="C1:G2"/>
    <mergeCell ref="I1:J1"/>
    <mergeCell ref="I2:J2"/>
    <mergeCell ref="A3:D3"/>
    <mergeCell ref="E3:G3"/>
    <mergeCell ref="H3:J3"/>
    <mergeCell ref="I5:I6"/>
    <mergeCell ref="J5:J6"/>
  </mergeCells>
  <conditionalFormatting sqref="F12">
    <cfRule type="cellIs" dxfId="111" priority="3" operator="greaterThan">
      <formula>$F$10</formula>
    </cfRule>
    <cfRule type="cellIs" dxfId="110" priority="4" operator="lessThan">
      <formula>$F$10</formula>
    </cfRule>
  </conditionalFormatting>
  <conditionalFormatting sqref="F15">
    <cfRule type="cellIs" dxfId="109" priority="5" operator="greaterThan">
      <formula>$F$13</formula>
    </cfRule>
    <cfRule type="cellIs" dxfId="108" priority="6" operator="lessThan">
      <formula>$F$13</formula>
    </cfRule>
  </conditionalFormatting>
  <conditionalFormatting sqref="F18">
    <cfRule type="cellIs" dxfId="107" priority="7" operator="lessThan">
      <formula>$F$16</formula>
    </cfRule>
    <cfRule type="cellIs" dxfId="106" priority="8" operator="greaterThanOrEqual">
      <formula>$F$16</formula>
    </cfRule>
  </conditionalFormatting>
  <conditionalFormatting sqref="F21">
    <cfRule type="cellIs" dxfId="105" priority="9" operator="lessThan">
      <formula>$F$22</formula>
    </cfRule>
    <cfRule type="cellIs" dxfId="104" priority="10" operator="greaterThanOrEqual">
      <formula>$F$22</formula>
    </cfRule>
  </conditionalFormatting>
  <conditionalFormatting sqref="F24">
    <cfRule type="cellIs" dxfId="103" priority="11" operator="lessThan">
      <formula>$F$22</formula>
    </cfRule>
    <cfRule type="cellIs" dxfId="102" priority="12" operator="greaterThanOrEqual">
      <formula>$F$22</formula>
    </cfRule>
  </conditionalFormatting>
  <conditionalFormatting sqref="F27">
    <cfRule type="cellIs" dxfId="101" priority="13" operator="lessThan">
      <formula>$F$22</formula>
    </cfRule>
    <cfRule type="cellIs" dxfId="100" priority="14" operator="greaterThanOrEqual">
      <formula>$F$22</formula>
    </cfRule>
  </conditionalFormatting>
  <conditionalFormatting sqref="F30">
    <cfRule type="cellIs" dxfId="99" priority="15" operator="lessThan">
      <formula>$F$22</formula>
    </cfRule>
    <cfRule type="cellIs" dxfId="98" priority="16" operator="greaterThanOrEqual">
      <formula>$F$22</formula>
    </cfRule>
  </conditionalFormatting>
  <conditionalFormatting sqref="F39">
    <cfRule type="cellIs" dxfId="97" priority="17" operator="lessThan">
      <formula>$F$22</formula>
    </cfRule>
    <cfRule type="cellIs" dxfId="96" priority="18" operator="greaterThanOrEqual">
      <formula>$F$22</formula>
    </cfRule>
  </conditionalFormatting>
  <conditionalFormatting sqref="F45">
    <cfRule type="cellIs" dxfId="95" priority="19" operator="lessThan">
      <formula>$F$22</formula>
    </cfRule>
    <cfRule type="cellIs" dxfId="94" priority="20" operator="greaterThanOrEqual">
      <formula>$F$22</formula>
    </cfRule>
  </conditionalFormatting>
  <conditionalFormatting sqref="F48">
    <cfRule type="cellIs" dxfId="93" priority="21" operator="lessThan">
      <formula>$F$22</formula>
    </cfRule>
    <cfRule type="cellIs" dxfId="92" priority="22" operator="greaterThanOrEqual">
      <formula>$F$22</formula>
    </cfRule>
  </conditionalFormatting>
  <conditionalFormatting sqref="J4">
    <cfRule type="cellIs" dxfId="91" priority="1" operator="lessThan">
      <formula>$H$4</formula>
    </cfRule>
    <cfRule type="cellIs" dxfId="90" priority="2" operator="greaterThan">
      <formula>$H$4</formula>
    </cfRule>
  </conditionalFormatting>
  <pageMargins left="0.25" right="0.25" top="0.75" bottom="0.75" header="0" footer="0"/>
  <pageSetup scale="32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20">
    <tabColor rgb="FF385623"/>
  </sheetPr>
  <dimension ref="A1:Z1000"/>
  <sheetViews>
    <sheetView workbookViewId="0"/>
  </sheetViews>
  <sheetFormatPr baseColWidth="10" defaultColWidth="11.1640625" defaultRowHeight="15" customHeight="1"/>
  <cols>
    <col min="1" max="1" width="21.83203125" customWidth="1"/>
    <col min="2" max="2" width="31.33203125" customWidth="1"/>
    <col min="3" max="3" width="22.83203125" customWidth="1"/>
    <col min="4" max="4" width="29.83203125" customWidth="1"/>
    <col min="5" max="5" width="33.33203125" customWidth="1"/>
    <col min="6" max="6" width="10.83203125" customWidth="1"/>
    <col min="7" max="7" width="28.6640625" customWidth="1"/>
    <col min="8" max="8" width="20.1640625" customWidth="1"/>
    <col min="9" max="9" width="27" customWidth="1"/>
    <col min="10" max="10" width="17.33203125" customWidth="1"/>
    <col min="11" max="26" width="10.5" customWidth="1"/>
  </cols>
  <sheetData>
    <row r="1" spans="1:26" ht="15.75" customHeight="1">
      <c r="A1" s="329"/>
      <c r="B1" s="278"/>
      <c r="C1" s="329" t="s">
        <v>219</v>
      </c>
      <c r="D1" s="281"/>
      <c r="E1" s="281"/>
      <c r="F1" s="281"/>
      <c r="G1" s="282"/>
      <c r="H1" s="23" t="s">
        <v>166</v>
      </c>
      <c r="I1" s="330" t="s">
        <v>167</v>
      </c>
      <c r="J1" s="286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154.5" customHeight="1">
      <c r="A2" s="279"/>
      <c r="B2" s="280"/>
      <c r="C2" s="279"/>
      <c r="D2" s="283"/>
      <c r="E2" s="283"/>
      <c r="F2" s="283"/>
      <c r="G2" s="284"/>
      <c r="H2" s="23" t="s">
        <v>168</v>
      </c>
      <c r="I2" s="331">
        <v>43691</v>
      </c>
      <c r="J2" s="286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5.75" customHeight="1">
      <c r="A3" s="295" t="s">
        <v>4</v>
      </c>
      <c r="B3" s="332"/>
      <c r="C3" s="332"/>
      <c r="D3" s="332"/>
      <c r="E3" s="332"/>
      <c r="F3" s="341"/>
      <c r="G3" s="31"/>
      <c r="H3" s="290">
        <v>1105</v>
      </c>
      <c r="I3" s="289"/>
      <c r="J3" s="286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48" customHeight="1">
      <c r="A4" s="25" t="s">
        <v>169</v>
      </c>
      <c r="B4" s="308" t="s">
        <v>531</v>
      </c>
      <c r="C4" s="286"/>
      <c r="D4" s="26" t="s">
        <v>8</v>
      </c>
      <c r="E4" s="11">
        <v>2024</v>
      </c>
      <c r="F4" s="475" t="s">
        <v>171</v>
      </c>
      <c r="G4" s="292"/>
      <c r="H4" s="12">
        <v>1020000</v>
      </c>
      <c r="I4" s="13" t="s">
        <v>10</v>
      </c>
      <c r="J4" s="1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5.75" customHeight="1">
      <c r="A5" s="295" t="s">
        <v>11</v>
      </c>
      <c r="B5" s="296"/>
      <c r="C5" s="476" t="s">
        <v>603</v>
      </c>
      <c r="D5" s="289"/>
      <c r="E5" s="286"/>
      <c r="F5" s="298" t="s">
        <v>174</v>
      </c>
      <c r="G5" s="292"/>
      <c r="H5" s="477">
        <v>100210</v>
      </c>
      <c r="I5" s="289"/>
      <c r="J5" s="286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>
      <c r="A6" s="25" t="s">
        <v>17</v>
      </c>
      <c r="B6" s="27" t="s">
        <v>18</v>
      </c>
      <c r="C6" s="16" t="s">
        <v>19</v>
      </c>
      <c r="D6" s="2" t="s">
        <v>20</v>
      </c>
      <c r="E6" s="16" t="s">
        <v>223</v>
      </c>
      <c r="F6" s="334" t="s">
        <v>13</v>
      </c>
      <c r="G6" s="294"/>
      <c r="H6" s="16" t="s">
        <v>177</v>
      </c>
      <c r="I6" s="2" t="s">
        <v>15</v>
      </c>
      <c r="J6" s="33" t="s">
        <v>16</v>
      </c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42.75" customHeight="1">
      <c r="A7" s="301" t="s">
        <v>22</v>
      </c>
      <c r="B7" s="302"/>
      <c r="C7" s="303" t="s">
        <v>604</v>
      </c>
      <c r="D7" s="289"/>
      <c r="E7" s="286"/>
      <c r="F7" s="335" t="s">
        <v>23</v>
      </c>
      <c r="G7" s="332"/>
      <c r="H7" s="296"/>
      <c r="I7" s="303" t="s">
        <v>605</v>
      </c>
      <c r="J7" s="286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15.75" customHeight="1">
      <c r="A8" s="309" t="s">
        <v>25</v>
      </c>
      <c r="B8" s="310" t="s">
        <v>26</v>
      </c>
      <c r="C8" s="312" t="s">
        <v>27</v>
      </c>
      <c r="D8" s="289"/>
      <c r="E8" s="286"/>
      <c r="F8" s="313" t="s">
        <v>28</v>
      </c>
      <c r="G8" s="282"/>
      <c r="H8" s="306" t="s">
        <v>29</v>
      </c>
      <c r="I8" s="304" t="s">
        <v>30</v>
      </c>
      <c r="J8" s="306" t="s">
        <v>31</v>
      </c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15.75" customHeight="1">
      <c r="A9" s="307"/>
      <c r="B9" s="311"/>
      <c r="C9" s="17" t="s">
        <v>32</v>
      </c>
      <c r="D9" s="18" t="s">
        <v>33</v>
      </c>
      <c r="E9" s="19" t="s">
        <v>34</v>
      </c>
      <c r="F9" s="279"/>
      <c r="G9" s="284"/>
      <c r="H9" s="307"/>
      <c r="I9" s="305"/>
      <c r="J9" s="307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ht="15.75" customHeight="1">
      <c r="A10" s="318" t="s">
        <v>35</v>
      </c>
      <c r="B10" s="314" t="s">
        <v>606</v>
      </c>
      <c r="C10" s="319" t="s">
        <v>607</v>
      </c>
      <c r="D10" s="322" t="s">
        <v>608</v>
      </c>
      <c r="E10" s="322" t="s">
        <v>39</v>
      </c>
      <c r="F10" s="3">
        <v>103</v>
      </c>
      <c r="G10" s="28" t="s">
        <v>609</v>
      </c>
      <c r="H10" s="314" t="s">
        <v>610</v>
      </c>
      <c r="I10" s="314" t="s">
        <v>611</v>
      </c>
      <c r="J10" s="314" t="s">
        <v>612</v>
      </c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51" customHeight="1">
      <c r="A11" s="315"/>
      <c r="B11" s="315"/>
      <c r="C11" s="320"/>
      <c r="D11" s="315"/>
      <c r="E11" s="315"/>
      <c r="F11" s="348" t="s">
        <v>44</v>
      </c>
      <c r="G11" s="317"/>
      <c r="H11" s="315"/>
      <c r="I11" s="315"/>
      <c r="J11" s="315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41.75" customHeight="1">
      <c r="A12" s="307"/>
      <c r="B12" s="307"/>
      <c r="C12" s="321"/>
      <c r="D12" s="307"/>
      <c r="E12" s="307"/>
      <c r="F12" s="20" t="e">
        <f>#REF!</f>
        <v>#REF!</v>
      </c>
      <c r="G12" s="28" t="s">
        <v>613</v>
      </c>
      <c r="H12" s="307"/>
      <c r="I12" s="307"/>
      <c r="J12" s="307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5.75" customHeight="1">
      <c r="A13" s="324" t="s">
        <v>46</v>
      </c>
      <c r="B13" s="323" t="s">
        <v>614</v>
      </c>
      <c r="C13" s="322" t="s">
        <v>615</v>
      </c>
      <c r="D13" s="322" t="s">
        <v>616</v>
      </c>
      <c r="E13" s="322" t="s">
        <v>39</v>
      </c>
      <c r="F13" s="3"/>
      <c r="G13" s="28" t="s">
        <v>266</v>
      </c>
      <c r="H13" s="314" t="s">
        <v>617</v>
      </c>
      <c r="I13" s="314" t="s">
        <v>618</v>
      </c>
      <c r="J13" s="314" t="s">
        <v>619</v>
      </c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52.5" customHeight="1">
      <c r="A14" s="315"/>
      <c r="B14" s="315"/>
      <c r="C14" s="315"/>
      <c r="D14" s="315"/>
      <c r="E14" s="315"/>
      <c r="F14" s="348" t="s">
        <v>44</v>
      </c>
      <c r="G14" s="317"/>
      <c r="H14" s="315"/>
      <c r="I14" s="315"/>
      <c r="J14" s="315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5.75" customHeight="1">
      <c r="A15" s="307"/>
      <c r="B15" s="307"/>
      <c r="C15" s="307"/>
      <c r="D15" s="307"/>
      <c r="E15" s="307"/>
      <c r="F15" s="20"/>
      <c r="G15" s="28" t="s">
        <v>266</v>
      </c>
      <c r="H15" s="307"/>
      <c r="I15" s="307"/>
      <c r="J15" s="307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5.75" customHeight="1">
      <c r="A16" s="325" t="s">
        <v>55</v>
      </c>
      <c r="B16" s="314" t="s">
        <v>620</v>
      </c>
      <c r="C16" s="322" t="s">
        <v>621</v>
      </c>
      <c r="D16" s="322" t="s">
        <v>207</v>
      </c>
      <c r="E16" s="322" t="s">
        <v>39</v>
      </c>
      <c r="F16" s="3"/>
      <c r="G16" s="28" t="s">
        <v>266</v>
      </c>
      <c r="H16" s="314" t="s">
        <v>622</v>
      </c>
      <c r="I16" s="314" t="s">
        <v>623</v>
      </c>
      <c r="J16" s="314" t="s">
        <v>624</v>
      </c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5.75" customHeight="1">
      <c r="A17" s="326"/>
      <c r="B17" s="315"/>
      <c r="C17" s="315"/>
      <c r="D17" s="315"/>
      <c r="E17" s="315"/>
      <c r="F17" s="348" t="s">
        <v>44</v>
      </c>
      <c r="G17" s="317"/>
      <c r="H17" s="315"/>
      <c r="I17" s="315"/>
      <c r="J17" s="315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81" customHeight="1">
      <c r="A18" s="326"/>
      <c r="B18" s="307"/>
      <c r="C18" s="307"/>
      <c r="D18" s="307"/>
      <c r="E18" s="307"/>
      <c r="F18" s="20"/>
      <c r="G18" s="28" t="s">
        <v>266</v>
      </c>
      <c r="H18" s="307"/>
      <c r="I18" s="307"/>
      <c r="J18" s="307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5.75" customHeight="1">
      <c r="A19" s="326"/>
      <c r="B19" s="314" t="s">
        <v>625</v>
      </c>
      <c r="C19" s="322" t="s">
        <v>626</v>
      </c>
      <c r="D19" s="322" t="s">
        <v>207</v>
      </c>
      <c r="E19" s="322" t="s">
        <v>39</v>
      </c>
      <c r="F19" s="3"/>
      <c r="G19" s="28" t="s">
        <v>266</v>
      </c>
      <c r="H19" s="314" t="s">
        <v>622</v>
      </c>
      <c r="I19" s="314" t="s">
        <v>623</v>
      </c>
      <c r="J19" s="314" t="s">
        <v>627</v>
      </c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5.75" customHeight="1">
      <c r="A20" s="326"/>
      <c r="B20" s="315"/>
      <c r="C20" s="315"/>
      <c r="D20" s="315"/>
      <c r="E20" s="315"/>
      <c r="F20" s="348" t="s">
        <v>44</v>
      </c>
      <c r="G20" s="317"/>
      <c r="H20" s="315"/>
      <c r="I20" s="315"/>
      <c r="J20" s="315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78.75" customHeight="1">
      <c r="A21" s="327"/>
      <c r="B21" s="307"/>
      <c r="C21" s="307"/>
      <c r="D21" s="307"/>
      <c r="E21" s="307"/>
      <c r="F21" s="20"/>
      <c r="G21" s="28" t="s">
        <v>249</v>
      </c>
      <c r="H21" s="307"/>
      <c r="I21" s="307"/>
      <c r="J21" s="307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5.75" customHeight="1">
      <c r="A22" s="318" t="s">
        <v>79</v>
      </c>
      <c r="B22" s="314" t="s">
        <v>628</v>
      </c>
      <c r="C22" s="322" t="s">
        <v>629</v>
      </c>
      <c r="D22" s="322" t="s">
        <v>207</v>
      </c>
      <c r="E22" s="322" t="s">
        <v>39</v>
      </c>
      <c r="F22" s="3"/>
      <c r="G22" s="28" t="s">
        <v>266</v>
      </c>
      <c r="H22" s="314" t="s">
        <v>622</v>
      </c>
      <c r="I22" s="314" t="s">
        <v>623</v>
      </c>
      <c r="J22" s="314" t="s">
        <v>624</v>
      </c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5.75" customHeight="1">
      <c r="A23" s="315"/>
      <c r="B23" s="315"/>
      <c r="C23" s="315"/>
      <c r="D23" s="315"/>
      <c r="E23" s="315"/>
      <c r="F23" s="348" t="s">
        <v>44</v>
      </c>
      <c r="G23" s="317"/>
      <c r="H23" s="315"/>
      <c r="I23" s="315"/>
      <c r="J23" s="315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84" customHeight="1">
      <c r="A24" s="315"/>
      <c r="B24" s="307"/>
      <c r="C24" s="307"/>
      <c r="D24" s="315"/>
      <c r="E24" s="315"/>
      <c r="F24" s="20"/>
      <c r="G24" s="28" t="s">
        <v>630</v>
      </c>
      <c r="H24" s="307"/>
      <c r="I24" s="307"/>
      <c r="J24" s="307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31.5" customHeight="1">
      <c r="A25" s="315"/>
      <c r="B25" s="314" t="s">
        <v>631</v>
      </c>
      <c r="C25" s="322" t="s">
        <v>632</v>
      </c>
      <c r="D25" s="315"/>
      <c r="E25" s="315"/>
      <c r="F25" s="3"/>
      <c r="G25" s="28" t="s">
        <v>266</v>
      </c>
      <c r="H25" s="314" t="s">
        <v>622</v>
      </c>
      <c r="I25" s="314" t="s">
        <v>623</v>
      </c>
      <c r="J25" s="314" t="s">
        <v>624</v>
      </c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33.75" customHeight="1">
      <c r="A26" s="315"/>
      <c r="B26" s="315"/>
      <c r="C26" s="315"/>
      <c r="D26" s="315"/>
      <c r="E26" s="315"/>
      <c r="F26" s="348" t="s">
        <v>44</v>
      </c>
      <c r="G26" s="317"/>
      <c r="H26" s="315"/>
      <c r="I26" s="315"/>
      <c r="J26" s="315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33.75" customHeight="1">
      <c r="A27" s="315"/>
      <c r="B27" s="307"/>
      <c r="C27" s="307"/>
      <c r="D27" s="315"/>
      <c r="E27" s="315"/>
      <c r="F27" s="20"/>
      <c r="G27" s="28" t="s">
        <v>249</v>
      </c>
      <c r="H27" s="307"/>
      <c r="I27" s="307"/>
      <c r="J27" s="307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25.5" customHeight="1">
      <c r="A28" s="315"/>
      <c r="B28" s="314" t="s">
        <v>633</v>
      </c>
      <c r="C28" s="322" t="s">
        <v>634</v>
      </c>
      <c r="D28" s="315"/>
      <c r="E28" s="315"/>
      <c r="F28" s="3"/>
      <c r="G28" s="28" t="s">
        <v>266</v>
      </c>
      <c r="H28" s="314" t="s">
        <v>622</v>
      </c>
      <c r="I28" s="314" t="s">
        <v>623</v>
      </c>
      <c r="J28" s="314" t="s">
        <v>624</v>
      </c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45" customHeight="1">
      <c r="A29" s="315"/>
      <c r="B29" s="315"/>
      <c r="C29" s="315"/>
      <c r="D29" s="315"/>
      <c r="E29" s="315"/>
      <c r="F29" s="348" t="s">
        <v>44</v>
      </c>
      <c r="G29" s="317"/>
      <c r="H29" s="315"/>
      <c r="I29" s="315"/>
      <c r="J29" s="315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45" customHeight="1">
      <c r="A30" s="315"/>
      <c r="B30" s="307"/>
      <c r="C30" s="307"/>
      <c r="D30" s="337"/>
      <c r="E30" s="337"/>
      <c r="F30" s="20"/>
      <c r="G30" s="28" t="s">
        <v>249</v>
      </c>
      <c r="H30" s="307"/>
      <c r="I30" s="307"/>
      <c r="J30" s="307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30" customHeight="1">
      <c r="A31" s="315"/>
      <c r="B31" s="314" t="s">
        <v>635</v>
      </c>
      <c r="C31" s="322" t="s">
        <v>636</v>
      </c>
      <c r="D31" s="322" t="s">
        <v>207</v>
      </c>
      <c r="E31" s="322" t="s">
        <v>39</v>
      </c>
      <c r="F31" s="3"/>
      <c r="G31" s="28" t="s">
        <v>266</v>
      </c>
      <c r="H31" s="314" t="s">
        <v>622</v>
      </c>
      <c r="I31" s="314" t="s">
        <v>623</v>
      </c>
      <c r="J31" s="314" t="s">
        <v>627</v>
      </c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24" customHeight="1">
      <c r="A32" s="315"/>
      <c r="B32" s="315"/>
      <c r="C32" s="315"/>
      <c r="D32" s="315"/>
      <c r="E32" s="315"/>
      <c r="F32" s="348" t="s">
        <v>44</v>
      </c>
      <c r="G32" s="317"/>
      <c r="H32" s="315"/>
      <c r="I32" s="315"/>
      <c r="J32" s="315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67.5" customHeight="1">
      <c r="A33" s="315"/>
      <c r="B33" s="307"/>
      <c r="C33" s="307"/>
      <c r="D33" s="315"/>
      <c r="E33" s="315"/>
      <c r="F33" s="20"/>
      <c r="G33" s="28" t="s">
        <v>249</v>
      </c>
      <c r="H33" s="307"/>
      <c r="I33" s="307"/>
      <c r="J33" s="307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6.5" customHeight="1">
      <c r="A34" s="315"/>
      <c r="B34" s="314" t="s">
        <v>637</v>
      </c>
      <c r="C34" s="322" t="s">
        <v>638</v>
      </c>
      <c r="D34" s="315"/>
      <c r="E34" s="315"/>
      <c r="F34" s="3"/>
      <c r="G34" s="28" t="s">
        <v>266</v>
      </c>
      <c r="H34" s="314" t="s">
        <v>622</v>
      </c>
      <c r="I34" s="314" t="s">
        <v>623</v>
      </c>
      <c r="J34" s="314" t="s">
        <v>627</v>
      </c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5.75" customHeight="1">
      <c r="A35" s="315"/>
      <c r="B35" s="315"/>
      <c r="C35" s="315"/>
      <c r="D35" s="315"/>
      <c r="E35" s="315"/>
      <c r="F35" s="348" t="s">
        <v>44</v>
      </c>
      <c r="G35" s="317"/>
      <c r="H35" s="315"/>
      <c r="I35" s="315"/>
      <c r="J35" s="315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81.75" customHeight="1">
      <c r="A36" s="307"/>
      <c r="B36" s="307"/>
      <c r="C36" s="307"/>
      <c r="D36" s="307"/>
      <c r="E36" s="307"/>
      <c r="F36" s="20"/>
      <c r="G36" s="28" t="s">
        <v>266</v>
      </c>
      <c r="H36" s="307"/>
      <c r="I36" s="307"/>
      <c r="J36" s="307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5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5.7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5.7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5.7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5.7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5.7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5.7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5.7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5.7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5.7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5.7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5.7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5.7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5.7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5.7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5.7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5.7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5.7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5.7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5.7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5.7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5.7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5.7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5.7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5.7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5.7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5.7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5.7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5.7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5.7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5.7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5.7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5.7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5.7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5.7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5.7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5.7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5.7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5.7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5.7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5.7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5.7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5.7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5.7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5.7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5.7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5.7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5.7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5.7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5.7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5.7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5.7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5.7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5.7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5.7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5.7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5.7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5.7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5.7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5.7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5.7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5.7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5.7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5.7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5.7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5.7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5.7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5.7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5.7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5.7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5.7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5.7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5.7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5.7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5.7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5.7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5.7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5.7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5.7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5.7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5.7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5.7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5.7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5.7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5.7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5.7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5.7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5.7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5.7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5.7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5.7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5.7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5.7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5.7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5.7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5.7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5.7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5.7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5.7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5.7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5.7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5.7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5.7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5.7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5.7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5.7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5.7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5.7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5.7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5.7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5.7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5.7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5.7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5.7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5.7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5.7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5.7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5.7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5.7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5.7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5.7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5.7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5.7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5.7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5.7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5.7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5.7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5.7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5.7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5.7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5.7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5.7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5.7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5.7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5.7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5.7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5.7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5.7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5.7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5.7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5.7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5.7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5.7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5.7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5.7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5.7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5.7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5.7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5.7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5.7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5.7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5.7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5.7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5.7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5.7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5.7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5.7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5.7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5.7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5.7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5.7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5.7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5.7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5.7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5.7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5.7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5.7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5.7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5.7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5.7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5.7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5.7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5.7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5.7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5.7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5.7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5.7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5.7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5.7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5.7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5.7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5.7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5.7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5.7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5.7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5.7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5.7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5.7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5.7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5.7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5.7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5.7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5.7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5.7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5.7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5.7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5.7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5.7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5.7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5.7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5.7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5.7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5.7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5.7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5.7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5.7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5.7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5.7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5.7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5.7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5.7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5.7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5.7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5.7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5.7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5.7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5.7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5.7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5.7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5.7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5.7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5.7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5.7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5.7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5.7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5.7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5.7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5.7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5.7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5.7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5.7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5.7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5.7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5.7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5.7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5.7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5.7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5.7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5.7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5.7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5.7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5.7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5.7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5.7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5.7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5.7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5.7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5.7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5.7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5.7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5.7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5.7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5.7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5.7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5.7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5.7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5.7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5.7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5.7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5.7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5.7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5.7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5.7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5.7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5.7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5.7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5.7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5.7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5.7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5.7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5.7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5.7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5.7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5.7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5.7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5.7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5.7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5.7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5.7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5.7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5.7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5.7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5.7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5.7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5.7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5.7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5.7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5.7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5.7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5.7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5.7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5.7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5.7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5.7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5.7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5.7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5.7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5.7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5.7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5.7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5.7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5.7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5.7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5.7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5.7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5.7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5.7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5.7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5.7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5.7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5.7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5.7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5.7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5.7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5.7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5.7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5.7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5.7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5.7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5.7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5.7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5.7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5.7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5.7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5.7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5.7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5.7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5.7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5.7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5.7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5.7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5.7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5.7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5.7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5.7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5.7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5.7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5.7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5.7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5.7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5.7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5.7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5.7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5.7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5.7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5.7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5.7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5.7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5.7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5.7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5.7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5.7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5.7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5.7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5.7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5.7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5.7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5.7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5.7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5.7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5.7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5.7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5.7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5.7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5.7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5.7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5.7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5.7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5.7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5.7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5.7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5.7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5.7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5.7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5.7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5.7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5.7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5.7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5.7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5.7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5.7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5.7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5.7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5.7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5.7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5.7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5.7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5.7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5.7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5.7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5.7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5.7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5.7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5.7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5.7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5.7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5.7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5.7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5.7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5.7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5.7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5.7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5.7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5.7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5.7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5.7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5.7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5.7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5.75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5.75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5.75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5.75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5.75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5.75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5.75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5.75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5.75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5.75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5.75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5.75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5.75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5.75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5.75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5.75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5.75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5.75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5.75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5.75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5.75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5.75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5.75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5.75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5.75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5.75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5.75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5.75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5.75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5.75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5.75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5.75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5.75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5.75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5.75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5.75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5.75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5.75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5.75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5.75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5.75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5.75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5.75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5.75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5.75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5.75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5.75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5.75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5.75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5.75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5.75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5.75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5.75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5.75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5.75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5.75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5.75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5.75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5.75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5.75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5.75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5.75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5.75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5.75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5.75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5.75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5.75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5.75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5.75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5.75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5.75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5.75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5.75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5.75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5.75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5.75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5.75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5.75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5.75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5.75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5.75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5.75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5.75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5.75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5.75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5.75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5.75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5.75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5.75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5.75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5.75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5.75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5.75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5.75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5.75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5.75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5.75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5.75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5.75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5.75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5.75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5.75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5.75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5.75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5.75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5.75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5.75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5.75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5.75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5.75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5.75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5.75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5.75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5.75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5.75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5.75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5.75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5.75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5.75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5.75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5.75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5.75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5.75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5.75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5.75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5.75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5.75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5.75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5.75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5.75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5.75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5.75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5.75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5.75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5.75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5.75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5.75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5.75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5.75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5.75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5.75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5.75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5.75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5.75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5.75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5.75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5.75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5.75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5.75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5.75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5.75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5.75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5.75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5.75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5.75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5.75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5.75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5.75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5.75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5.75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5.75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5.75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5.75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5.75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5.75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5.75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5.75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5.75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5.75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5.75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5.75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5.75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5.75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5.75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5.75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5.75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5.75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5.75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5.75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5.75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5.75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5.75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5.75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5.75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5.75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5.75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5.75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5.75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5.75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5.75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5.75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5.75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5.75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5.75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5.75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5.75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5.75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5.75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5.75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5.75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5.75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5.75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5.75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5.75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5.75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5.75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5.75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5.75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5.75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5.75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5.75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5.75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5.75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5.75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5.75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5.75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5.75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5.75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5.75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5.75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5.75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5.75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5.75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5.75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5.75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5.75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5.75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5.75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5.75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5.75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5.75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5.75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5.75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5.75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5.75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5.75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5.75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5.75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5.75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5.75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5.75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5.75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5.75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5.75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5.75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5.75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5.75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5.75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5.75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5.75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5.75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5.75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5.75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5.75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5.75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5.75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5.75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5.75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5.75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5.75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5.75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5.75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5.75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5.75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5.75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5.75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5.75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5.75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5.75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5.75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5.75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5.75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5.75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5.75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5.75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5.75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5.75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5.75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5.75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5.75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5.75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5.75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5.75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5.75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5.75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5.75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5.75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5.75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5.75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5.75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5.75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5.75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5.75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5.75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5.75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5.75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5.75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5.75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5.75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5.75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5.75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5.75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5.75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5.75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5.75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5.75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5.75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5.75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5.75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5.75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5.75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5.75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5.75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5.75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5.75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5.75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5.75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5.75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5.75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5.75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5.75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5.75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5.75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5.75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5.75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5.75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5.75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5.75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5.75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5.75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5.75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5.75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5.75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5.75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5.75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5.75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5.75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5.75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5.75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5.75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5.75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5.75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5.75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5.75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5.75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5.75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5.75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5.75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5.75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5.75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5.75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5.75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5.75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5.75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5.75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5.75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5.75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5.75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5.75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5.75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5.75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5.75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5.75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5.75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5.75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5.75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5.75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5.75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5.75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5.75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5.75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5.75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5.75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5.75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5.75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5.75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5.75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5.75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5.75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5.75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5.75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5.75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5.75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5.75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5.75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5.75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5.75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5.75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5.75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5.75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5.75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5.75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5.75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5.75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5.75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5.75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94">
    <mergeCell ref="J19:J21"/>
    <mergeCell ref="F20:G20"/>
    <mergeCell ref="A16:A21"/>
    <mergeCell ref="B22:B24"/>
    <mergeCell ref="C22:C24"/>
    <mergeCell ref="D22:D30"/>
    <mergeCell ref="C25:C27"/>
    <mergeCell ref="C28:C30"/>
    <mergeCell ref="J22:J24"/>
    <mergeCell ref="F23:G23"/>
    <mergeCell ref="B25:B27"/>
    <mergeCell ref="H25:H27"/>
    <mergeCell ref="F26:G26"/>
    <mergeCell ref="I25:I27"/>
    <mergeCell ref="J25:J27"/>
    <mergeCell ref="B28:B30"/>
    <mergeCell ref="F29:G29"/>
    <mergeCell ref="I34:I36"/>
    <mergeCell ref="J34:J36"/>
    <mergeCell ref="I28:I30"/>
    <mergeCell ref="J28:J30"/>
    <mergeCell ref="H31:H33"/>
    <mergeCell ref="I31:I33"/>
    <mergeCell ref="J31:J33"/>
    <mergeCell ref="F32:G32"/>
    <mergeCell ref="H34:H36"/>
    <mergeCell ref="F35:G35"/>
    <mergeCell ref="H28:H30"/>
    <mergeCell ref="I19:I21"/>
    <mergeCell ref="I13:I15"/>
    <mergeCell ref="H22:H24"/>
    <mergeCell ref="I22:I24"/>
    <mergeCell ref="A22:A36"/>
    <mergeCell ref="B31:B33"/>
    <mergeCell ref="C31:C33"/>
    <mergeCell ref="D31:D36"/>
    <mergeCell ref="E31:E36"/>
    <mergeCell ref="B34:B36"/>
    <mergeCell ref="C34:C36"/>
    <mergeCell ref="A13:A15"/>
    <mergeCell ref="C13:C15"/>
    <mergeCell ref="D13:D15"/>
    <mergeCell ref="E13:E15"/>
    <mergeCell ref="E22:E30"/>
    <mergeCell ref="B19:B21"/>
    <mergeCell ref="C19:C21"/>
    <mergeCell ref="D19:D21"/>
    <mergeCell ref="E19:E21"/>
    <mergeCell ref="H19:H21"/>
    <mergeCell ref="I10:I12"/>
    <mergeCell ref="J10:J12"/>
    <mergeCell ref="B13:B15"/>
    <mergeCell ref="B16:B18"/>
    <mergeCell ref="H13:H15"/>
    <mergeCell ref="F14:G14"/>
    <mergeCell ref="C16:C18"/>
    <mergeCell ref="D16:D18"/>
    <mergeCell ref="E16:E18"/>
    <mergeCell ref="H16:H18"/>
    <mergeCell ref="F17:G17"/>
    <mergeCell ref="I16:I18"/>
    <mergeCell ref="J16:J18"/>
    <mergeCell ref="J13:J15"/>
    <mergeCell ref="H10:H12"/>
    <mergeCell ref="F11:G11"/>
    <mergeCell ref="A10:A12"/>
    <mergeCell ref="B10:B12"/>
    <mergeCell ref="C10:C12"/>
    <mergeCell ref="D10:D12"/>
    <mergeCell ref="E10:E12"/>
    <mergeCell ref="H5:J5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F4:G4"/>
    <mergeCell ref="B4:C4"/>
    <mergeCell ref="A5:B5"/>
    <mergeCell ref="C5:E5"/>
    <mergeCell ref="F5:G5"/>
    <mergeCell ref="A1:B2"/>
    <mergeCell ref="C1:G2"/>
    <mergeCell ref="I1:J1"/>
    <mergeCell ref="I2:J2"/>
    <mergeCell ref="A3:F3"/>
    <mergeCell ref="H3:J3"/>
  </mergeCells>
  <conditionalFormatting sqref="F12">
    <cfRule type="cellIs" dxfId="89" priority="1" operator="lessThan">
      <formula>$F$16</formula>
    </cfRule>
    <cfRule type="cellIs" dxfId="88" priority="2" operator="greaterThanOrEqual">
      <formula>$F$16</formula>
    </cfRule>
  </conditionalFormatting>
  <conditionalFormatting sqref="F15">
    <cfRule type="cellIs" dxfId="87" priority="3" operator="lessThan">
      <formula>$F$16</formula>
    </cfRule>
    <cfRule type="cellIs" dxfId="86" priority="4" operator="greaterThanOrEqual">
      <formula>$F$16</formula>
    </cfRule>
  </conditionalFormatting>
  <conditionalFormatting sqref="F18">
    <cfRule type="cellIs" dxfId="85" priority="5" operator="lessThan">
      <formula>$F$16</formula>
    </cfRule>
    <cfRule type="cellIs" dxfId="84" priority="6" operator="greaterThanOrEqual">
      <formula>$F$16</formula>
    </cfRule>
  </conditionalFormatting>
  <conditionalFormatting sqref="F21">
    <cfRule type="cellIs" dxfId="83" priority="7" operator="lessThan">
      <formula>$F$16</formula>
    </cfRule>
    <cfRule type="cellIs" dxfId="82" priority="8" operator="greaterThanOrEqual">
      <formula>$F$16</formula>
    </cfRule>
  </conditionalFormatting>
  <conditionalFormatting sqref="F24">
    <cfRule type="cellIs" dxfId="81" priority="9" operator="lessThan">
      <formula>$F$16</formula>
    </cfRule>
    <cfRule type="cellIs" dxfId="80" priority="10" operator="greaterThanOrEqual">
      <formula>$F$16</formula>
    </cfRule>
  </conditionalFormatting>
  <conditionalFormatting sqref="F27">
    <cfRule type="cellIs" dxfId="79" priority="11" operator="lessThan">
      <formula>$F$16</formula>
    </cfRule>
    <cfRule type="cellIs" dxfId="78" priority="12" operator="greaterThanOrEqual">
      <formula>$F$16</formula>
    </cfRule>
  </conditionalFormatting>
  <conditionalFormatting sqref="F30">
    <cfRule type="cellIs" dxfId="77" priority="13" operator="lessThan">
      <formula>$F$16</formula>
    </cfRule>
    <cfRule type="cellIs" dxfId="76" priority="14" operator="greaterThanOrEqual">
      <formula>$F$16</formula>
    </cfRule>
  </conditionalFormatting>
  <conditionalFormatting sqref="F33">
    <cfRule type="cellIs" dxfId="75" priority="15" operator="lessThan">
      <formula>$F$16</formula>
    </cfRule>
    <cfRule type="cellIs" dxfId="74" priority="16" operator="greaterThanOrEqual">
      <formula>$F$16</formula>
    </cfRule>
  </conditionalFormatting>
  <conditionalFormatting sqref="F36">
    <cfRule type="cellIs" dxfId="73" priority="17" operator="lessThan">
      <formula>$F$16</formula>
    </cfRule>
    <cfRule type="cellIs" dxfId="72" priority="18" operator="greaterThanOrEqual">
      <formula>$F$16</formula>
    </cfRule>
  </conditionalFormatting>
  <conditionalFormatting sqref="J4">
    <cfRule type="cellIs" dxfId="71" priority="19" operator="lessThan">
      <formula>$H$4</formula>
    </cfRule>
    <cfRule type="cellIs" dxfId="70" priority="20" operator="greaterThan">
      <formula>$H$4</formula>
    </cfRule>
  </conditionalFormatting>
  <pageMargins left="0.7" right="0.7" top="0.75" bottom="0.75" header="0" footer="0"/>
  <pageSetup scale="35" orientation="portrait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BF58F-294F-DE45-AEED-41FF228E5EFC}">
  <sheetPr>
    <tabColor rgb="FF385623"/>
  </sheetPr>
  <dimension ref="A1:Z994"/>
  <sheetViews>
    <sheetView topLeftCell="A25" workbookViewId="0">
      <selection activeCell="C10" sqref="C10:C12"/>
    </sheetView>
  </sheetViews>
  <sheetFormatPr baseColWidth="10" defaultColWidth="11.1640625" defaultRowHeight="15" customHeight="1"/>
  <cols>
    <col min="1" max="1" width="29" style="146" customWidth="1"/>
    <col min="2" max="2" width="44.6640625" style="146" customWidth="1"/>
    <col min="3" max="3" width="32.6640625" style="146" customWidth="1"/>
    <col min="4" max="4" width="28.83203125" style="146" customWidth="1"/>
    <col min="5" max="5" width="27.1640625" style="146" customWidth="1"/>
    <col min="6" max="6" width="17.33203125" style="146" customWidth="1"/>
    <col min="7" max="7" width="26.83203125" style="146" customWidth="1"/>
    <col min="8" max="8" width="25" style="146" customWidth="1"/>
    <col min="9" max="9" width="38.1640625" style="146" customWidth="1"/>
    <col min="10" max="10" width="27.33203125" style="146" customWidth="1"/>
    <col min="11" max="26" width="10.5" style="146" customWidth="1"/>
    <col min="27" max="16384" width="11.1640625" style="146"/>
  </cols>
  <sheetData>
    <row r="1" spans="1:26" ht="39" customHeight="1" thickBot="1">
      <c r="A1" s="226" t="e" vm="1">
        <v>#VALUE!</v>
      </c>
      <c r="B1" s="227"/>
      <c r="C1" s="207" t="s">
        <v>0</v>
      </c>
      <c r="D1" s="207"/>
      <c r="E1" s="207"/>
      <c r="F1" s="207"/>
      <c r="G1" s="208"/>
      <c r="H1" s="98" t="s">
        <v>1</v>
      </c>
      <c r="I1" s="183" t="s">
        <v>2</v>
      </c>
      <c r="J1" s="172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</row>
    <row r="2" spans="1:26" ht="138" customHeight="1" thickBot="1">
      <c r="A2" s="228"/>
      <c r="B2" s="229"/>
      <c r="C2" s="209"/>
      <c r="D2" s="209"/>
      <c r="E2" s="209"/>
      <c r="F2" s="209"/>
      <c r="G2" s="210"/>
      <c r="H2" s="98" t="s">
        <v>3</v>
      </c>
      <c r="I2" s="184">
        <v>45889</v>
      </c>
      <c r="J2" s="172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 spans="1:26" ht="45.75" customHeight="1" thickBot="1">
      <c r="A3" s="201" t="s">
        <v>856</v>
      </c>
      <c r="B3" s="202"/>
      <c r="C3" s="202"/>
      <c r="D3" s="202"/>
      <c r="E3" s="199" t="s">
        <v>855</v>
      </c>
      <c r="F3" s="199"/>
      <c r="G3" s="200"/>
      <c r="H3" s="185" t="s">
        <v>843</v>
      </c>
      <c r="I3" s="186"/>
      <c r="J3" s="187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</row>
    <row r="4" spans="1:26" ht="61.5" customHeight="1" thickBot="1">
      <c r="A4" s="152" t="s">
        <v>169</v>
      </c>
      <c r="B4" s="171" t="s">
        <v>639</v>
      </c>
      <c r="C4" s="364"/>
      <c r="D4" s="153" t="s">
        <v>8</v>
      </c>
      <c r="E4" s="166" t="s">
        <v>790</v>
      </c>
      <c r="F4" s="491" t="s">
        <v>171</v>
      </c>
      <c r="G4" s="351"/>
      <c r="H4" s="154">
        <v>4800000</v>
      </c>
      <c r="I4" s="155" t="s">
        <v>10</v>
      </c>
      <c r="J4" s="77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</row>
    <row r="5" spans="1:26" ht="100.5" customHeight="1" thickBot="1">
      <c r="A5" s="353" t="s">
        <v>11</v>
      </c>
      <c r="B5" s="354"/>
      <c r="C5" s="492" t="s">
        <v>640</v>
      </c>
      <c r="D5" s="355"/>
      <c r="E5" s="356"/>
      <c r="F5" s="357" t="s">
        <v>13</v>
      </c>
      <c r="G5" s="358"/>
      <c r="H5" s="493" t="s">
        <v>841</v>
      </c>
      <c r="I5" s="376" t="s">
        <v>15</v>
      </c>
      <c r="J5" s="374" t="s">
        <v>642</v>
      </c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</row>
    <row r="6" spans="1:26" ht="117" customHeight="1" thickBot="1">
      <c r="A6" s="152" t="s">
        <v>17</v>
      </c>
      <c r="B6" s="162" t="s">
        <v>18</v>
      </c>
      <c r="C6" s="158" t="s">
        <v>641</v>
      </c>
      <c r="D6" s="108" t="s">
        <v>20</v>
      </c>
      <c r="E6" s="167" t="s">
        <v>404</v>
      </c>
      <c r="F6" s="359"/>
      <c r="G6" s="360"/>
      <c r="H6" s="494"/>
      <c r="I6" s="377"/>
      <c r="J6" s="375"/>
      <c r="K6" s="90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</row>
    <row r="7" spans="1:26" ht="69.75" customHeight="1" thickBot="1">
      <c r="A7" s="361" t="s">
        <v>22</v>
      </c>
      <c r="B7" s="362"/>
      <c r="C7" s="368" t="s">
        <v>950</v>
      </c>
      <c r="D7" s="355"/>
      <c r="E7" s="364"/>
      <c r="F7" s="352" t="s">
        <v>23</v>
      </c>
      <c r="G7" s="488"/>
      <c r="H7" s="489"/>
      <c r="I7" s="363" t="s">
        <v>225</v>
      </c>
      <c r="J7" s="490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</row>
    <row r="8" spans="1:26" ht="54.75" customHeight="1" thickBot="1">
      <c r="A8" s="485" t="s">
        <v>25</v>
      </c>
      <c r="B8" s="485" t="s">
        <v>26</v>
      </c>
      <c r="C8" s="486" t="s">
        <v>27</v>
      </c>
      <c r="D8" s="487"/>
      <c r="E8" s="364"/>
      <c r="F8" s="425" t="s">
        <v>28</v>
      </c>
      <c r="G8" s="371"/>
      <c r="H8" s="391" t="s">
        <v>29</v>
      </c>
      <c r="I8" s="390" t="s">
        <v>30</v>
      </c>
      <c r="J8" s="391" t="s">
        <v>31</v>
      </c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</row>
    <row r="9" spans="1:26" ht="67.5" customHeight="1" thickBot="1">
      <c r="A9" s="369"/>
      <c r="B9" s="369"/>
      <c r="C9" s="168" t="s">
        <v>32</v>
      </c>
      <c r="D9" s="168" t="s">
        <v>33</v>
      </c>
      <c r="E9" s="169" t="s">
        <v>34</v>
      </c>
      <c r="F9" s="372"/>
      <c r="G9" s="373"/>
      <c r="H9" s="258"/>
      <c r="I9" s="366"/>
      <c r="J9" s="258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</row>
    <row r="10" spans="1:26" ht="72" customHeight="1" thickBot="1">
      <c r="A10" s="379" t="s">
        <v>35</v>
      </c>
      <c r="B10" s="380" t="s">
        <v>951</v>
      </c>
      <c r="C10" s="483" t="s">
        <v>952</v>
      </c>
      <c r="D10" s="484" t="s">
        <v>115</v>
      </c>
      <c r="E10" s="223" t="s">
        <v>39</v>
      </c>
      <c r="F10" s="86">
        <v>9</v>
      </c>
      <c r="G10" s="115" t="s">
        <v>953</v>
      </c>
      <c r="H10" s="197" t="s">
        <v>954</v>
      </c>
      <c r="I10" s="197" t="s">
        <v>643</v>
      </c>
      <c r="J10" s="197" t="s">
        <v>644</v>
      </c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</row>
    <row r="11" spans="1:26" ht="144" customHeight="1" thickBot="1">
      <c r="A11" s="257"/>
      <c r="B11" s="257"/>
      <c r="C11" s="273"/>
      <c r="D11" s="257"/>
      <c r="E11" s="257"/>
      <c r="F11" s="481" t="s">
        <v>44</v>
      </c>
      <c r="G11" s="262"/>
      <c r="H11" s="257"/>
      <c r="I11" s="257"/>
      <c r="J11" s="257"/>
      <c r="K11" s="90"/>
      <c r="L11" s="223" t="s">
        <v>651</v>
      </c>
      <c r="M11" s="90" t="str">
        <f>UPPER(L11)</f>
        <v>ACUERDOS DE COOPERACIÓN NACIONALES E INTERNACIONALES</v>
      </c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</row>
    <row r="12" spans="1:26" ht="47" customHeight="1" thickBot="1">
      <c r="A12" s="258"/>
      <c r="B12" s="258"/>
      <c r="C12" s="274"/>
      <c r="D12" s="258"/>
      <c r="E12" s="258"/>
      <c r="F12" s="151"/>
      <c r="G12" s="156" t="s">
        <v>233</v>
      </c>
      <c r="H12" s="258"/>
      <c r="I12" s="258"/>
      <c r="J12" s="258"/>
      <c r="K12" s="90"/>
      <c r="L12" s="257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</row>
    <row r="13" spans="1:26" ht="68" customHeight="1" thickBot="1">
      <c r="A13" s="381" t="s">
        <v>46</v>
      </c>
      <c r="B13" s="213" t="s">
        <v>955</v>
      </c>
      <c r="C13" s="223" t="s">
        <v>956</v>
      </c>
      <c r="D13" s="223" t="s">
        <v>926</v>
      </c>
      <c r="E13" s="223" t="s">
        <v>39</v>
      </c>
      <c r="F13" s="86">
        <v>83</v>
      </c>
      <c r="G13" s="115" t="s">
        <v>957</v>
      </c>
      <c r="H13" s="197" t="s">
        <v>958</v>
      </c>
      <c r="I13" s="197" t="s">
        <v>959</v>
      </c>
      <c r="J13" s="197" t="s">
        <v>960</v>
      </c>
      <c r="K13" s="90"/>
      <c r="L13" s="258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</row>
    <row r="14" spans="1:26" ht="82" customHeight="1" thickBot="1">
      <c r="A14" s="257"/>
      <c r="B14" s="257"/>
      <c r="C14" s="257"/>
      <c r="D14" s="257"/>
      <c r="E14" s="257"/>
      <c r="F14" s="481" t="s">
        <v>44</v>
      </c>
      <c r="G14" s="262"/>
      <c r="H14" s="257"/>
      <c r="I14" s="257"/>
      <c r="J14" s="257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</row>
    <row r="15" spans="1:26" ht="61" customHeight="1" thickBot="1">
      <c r="A15" s="426"/>
      <c r="B15" s="258"/>
      <c r="C15" s="258"/>
      <c r="D15" s="258"/>
      <c r="E15" s="258"/>
      <c r="F15" s="151">
        <v>3</v>
      </c>
      <c r="G15" s="115" t="s">
        <v>249</v>
      </c>
      <c r="H15" s="258"/>
      <c r="I15" s="258"/>
      <c r="J15" s="258"/>
      <c r="K15" s="90"/>
      <c r="L15" s="90"/>
      <c r="M15" s="90"/>
      <c r="N15" s="90"/>
      <c r="O15" s="90" t="s">
        <v>988</v>
      </c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</row>
    <row r="16" spans="1:26" ht="69" customHeight="1" thickBot="1">
      <c r="A16" s="440" t="s">
        <v>55</v>
      </c>
      <c r="B16" s="478" t="s">
        <v>961</v>
      </c>
      <c r="C16" s="223" t="s">
        <v>962</v>
      </c>
      <c r="D16" s="223" t="s">
        <v>963</v>
      </c>
      <c r="E16" s="223" t="s">
        <v>39</v>
      </c>
      <c r="F16" s="86">
        <v>700</v>
      </c>
      <c r="G16" s="115" t="s">
        <v>964</v>
      </c>
      <c r="H16" s="197" t="s">
        <v>966</v>
      </c>
      <c r="I16" s="197" t="s">
        <v>967</v>
      </c>
      <c r="J16" s="197" t="s">
        <v>968</v>
      </c>
      <c r="K16" s="90"/>
      <c r="L16" s="90"/>
      <c r="M16" s="90"/>
      <c r="N16" s="90"/>
      <c r="O16" s="163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</row>
    <row r="17" spans="1:26" ht="55" customHeight="1" thickBot="1">
      <c r="A17" s="432"/>
      <c r="B17" s="351"/>
      <c r="C17" s="257"/>
      <c r="D17" s="257"/>
      <c r="E17" s="257"/>
      <c r="F17" s="481" t="s">
        <v>44</v>
      </c>
      <c r="G17" s="262"/>
      <c r="H17" s="257"/>
      <c r="I17" s="257"/>
      <c r="J17" s="257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</row>
    <row r="18" spans="1:26" ht="105.75" customHeight="1" thickBot="1">
      <c r="A18" s="432"/>
      <c r="B18" s="387"/>
      <c r="C18" s="258"/>
      <c r="D18" s="258"/>
      <c r="E18" s="258"/>
      <c r="F18" s="89">
        <v>100</v>
      </c>
      <c r="G18" s="115" t="s">
        <v>965</v>
      </c>
      <c r="H18" s="258"/>
      <c r="I18" s="258"/>
      <c r="J18" s="258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</row>
    <row r="19" spans="1:26" ht="61" customHeight="1" thickBot="1">
      <c r="A19" s="432"/>
      <c r="B19" s="478" t="s">
        <v>969</v>
      </c>
      <c r="C19" s="223" t="s">
        <v>970</v>
      </c>
      <c r="D19" s="223" t="s">
        <v>971</v>
      </c>
      <c r="E19" s="223" t="s">
        <v>39</v>
      </c>
      <c r="F19" s="86">
        <v>6</v>
      </c>
      <c r="G19" s="115" t="s">
        <v>972</v>
      </c>
      <c r="H19" s="197" t="s">
        <v>974</v>
      </c>
      <c r="I19" s="197" t="s">
        <v>645</v>
      </c>
      <c r="J19" s="197" t="s">
        <v>646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</row>
    <row r="20" spans="1:26" ht="150" customHeight="1" thickBot="1">
      <c r="A20" s="432"/>
      <c r="B20" s="351"/>
      <c r="C20" s="257"/>
      <c r="D20" s="257"/>
      <c r="E20" s="257"/>
      <c r="F20" s="481" t="s">
        <v>44</v>
      </c>
      <c r="G20" s="262"/>
      <c r="H20" s="257"/>
      <c r="I20" s="257"/>
      <c r="J20" s="257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</row>
    <row r="21" spans="1:26" ht="67" customHeight="1" thickBot="1">
      <c r="A21" s="432"/>
      <c r="B21" s="387"/>
      <c r="C21" s="258"/>
      <c r="D21" s="258"/>
      <c r="E21" s="258"/>
      <c r="F21" s="151">
        <v>1</v>
      </c>
      <c r="G21" s="156" t="s">
        <v>973</v>
      </c>
      <c r="H21" s="258"/>
      <c r="I21" s="258"/>
      <c r="J21" s="258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</row>
    <row r="22" spans="1:26" ht="130" customHeight="1" thickBot="1">
      <c r="A22" s="432"/>
      <c r="B22" s="478" t="s">
        <v>969</v>
      </c>
      <c r="C22" s="223" t="s">
        <v>975</v>
      </c>
      <c r="D22" s="223" t="s">
        <v>926</v>
      </c>
      <c r="E22" s="223" t="s">
        <v>39</v>
      </c>
      <c r="F22" s="86">
        <v>21</v>
      </c>
      <c r="G22" s="115" t="s">
        <v>982</v>
      </c>
      <c r="H22" s="197" t="s">
        <v>977</v>
      </c>
      <c r="I22" s="197" t="s">
        <v>979</v>
      </c>
      <c r="J22" s="197" t="s">
        <v>978</v>
      </c>
      <c r="K22" s="90"/>
      <c r="L22" s="90"/>
      <c r="M22" s="90"/>
      <c r="N22" s="90"/>
      <c r="O22" s="90"/>
      <c r="P22" s="90"/>
      <c r="Q22" s="90" t="s">
        <v>986</v>
      </c>
      <c r="R22" s="90"/>
      <c r="S22" s="90"/>
      <c r="T22" s="90"/>
      <c r="U22" s="90"/>
      <c r="V22" s="90"/>
      <c r="W22" s="90"/>
      <c r="X22" s="90"/>
      <c r="Y22" s="90"/>
      <c r="Z22" s="90"/>
    </row>
    <row r="23" spans="1:26" ht="15.75" customHeight="1" thickBot="1">
      <c r="A23" s="432"/>
      <c r="B23" s="351"/>
      <c r="C23" s="257"/>
      <c r="D23" s="257"/>
      <c r="E23" s="257"/>
      <c r="F23" s="481" t="s">
        <v>44</v>
      </c>
      <c r="G23" s="262"/>
      <c r="H23" s="257"/>
      <c r="I23" s="257"/>
      <c r="J23" s="257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</row>
    <row r="24" spans="1:26" ht="91.5" customHeight="1" thickBot="1">
      <c r="A24" s="432"/>
      <c r="B24" s="387"/>
      <c r="C24" s="258"/>
      <c r="D24" s="258"/>
      <c r="E24" s="258"/>
      <c r="F24" s="151">
        <v>3</v>
      </c>
      <c r="G24" s="115" t="s">
        <v>983</v>
      </c>
      <c r="H24" s="258"/>
      <c r="I24" s="258"/>
      <c r="J24" s="258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</row>
    <row r="25" spans="1:26" ht="73" customHeight="1" thickBot="1">
      <c r="A25" s="432"/>
      <c r="B25" s="478" t="s">
        <v>980</v>
      </c>
      <c r="C25" s="223" t="s">
        <v>981</v>
      </c>
      <c r="D25" s="223" t="s">
        <v>926</v>
      </c>
      <c r="E25" s="223" t="s">
        <v>39</v>
      </c>
      <c r="F25" s="86">
        <v>179</v>
      </c>
      <c r="G25" s="115" t="s">
        <v>976</v>
      </c>
      <c r="H25" s="197" t="s">
        <v>984</v>
      </c>
      <c r="I25" s="197" t="s">
        <v>979</v>
      </c>
      <c r="J25" s="197" t="s">
        <v>978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</row>
    <row r="26" spans="1:26" ht="47" customHeight="1" thickBot="1">
      <c r="A26" s="432"/>
      <c r="B26" s="351"/>
      <c r="C26" s="257"/>
      <c r="D26" s="257"/>
      <c r="E26" s="257"/>
      <c r="F26" s="481" t="s">
        <v>44</v>
      </c>
      <c r="G26" s="262"/>
      <c r="H26" s="257"/>
      <c r="I26" s="257"/>
      <c r="J26" s="257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</row>
    <row r="27" spans="1:26" ht="114" customHeight="1" thickBot="1">
      <c r="A27" s="369"/>
      <c r="B27" s="387"/>
      <c r="C27" s="258"/>
      <c r="D27" s="258"/>
      <c r="E27" s="258"/>
      <c r="F27" s="151">
        <v>36</v>
      </c>
      <c r="G27" s="115" t="s">
        <v>983</v>
      </c>
      <c r="H27" s="258"/>
      <c r="I27" s="258"/>
      <c r="J27" s="258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</row>
    <row r="28" spans="1:26" ht="15.75" customHeight="1" thickBot="1">
      <c r="A28" s="432"/>
      <c r="B28" s="482" t="s">
        <v>986</v>
      </c>
      <c r="C28" s="197" t="s">
        <v>987</v>
      </c>
      <c r="D28" s="223" t="s">
        <v>926</v>
      </c>
      <c r="E28" s="257"/>
      <c r="F28" s="144">
        <v>170</v>
      </c>
      <c r="G28" s="115" t="s">
        <v>647</v>
      </c>
      <c r="H28" s="197" t="s">
        <v>648</v>
      </c>
      <c r="I28" s="197" t="s">
        <v>926</v>
      </c>
      <c r="J28" s="459" t="s">
        <v>650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</row>
    <row r="29" spans="1:26" ht="48" customHeight="1" thickBot="1">
      <c r="A29" s="432"/>
      <c r="B29" s="482"/>
      <c r="C29" s="257"/>
      <c r="D29" s="257"/>
      <c r="E29" s="257"/>
      <c r="F29" s="479" t="s">
        <v>44</v>
      </c>
      <c r="G29" s="262"/>
      <c r="H29" s="257"/>
      <c r="I29" s="257"/>
      <c r="J29" s="38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</row>
    <row r="30" spans="1:26" ht="39" customHeight="1" thickBot="1">
      <c r="A30" s="432"/>
      <c r="B30" s="482"/>
      <c r="C30" s="258"/>
      <c r="D30" s="257"/>
      <c r="E30" s="257"/>
      <c r="F30" s="170">
        <v>15</v>
      </c>
      <c r="G30" s="115" t="s">
        <v>649</v>
      </c>
      <c r="H30" s="258"/>
      <c r="I30" s="426"/>
      <c r="J30" s="48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</row>
    <row r="31" spans="1:26" ht="86" customHeight="1" thickBot="1">
      <c r="A31" s="432"/>
      <c r="B31" s="478" t="s">
        <v>985</v>
      </c>
      <c r="C31" s="223" t="s">
        <v>993</v>
      </c>
      <c r="D31" s="257"/>
      <c r="E31" s="257"/>
      <c r="F31" s="144">
        <v>3000</v>
      </c>
      <c r="G31" s="115" t="s">
        <v>991</v>
      </c>
      <c r="H31" s="197" t="s">
        <v>995</v>
      </c>
      <c r="I31" s="197" t="s">
        <v>926</v>
      </c>
      <c r="J31" s="197" t="s">
        <v>978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</row>
    <row r="32" spans="1:26" ht="75" customHeight="1" thickBot="1">
      <c r="A32" s="432"/>
      <c r="B32" s="351"/>
      <c r="C32" s="257"/>
      <c r="D32" s="257"/>
      <c r="E32" s="257"/>
      <c r="F32" s="479" t="s">
        <v>44</v>
      </c>
      <c r="G32" s="262"/>
      <c r="H32" s="257"/>
      <c r="I32" s="257"/>
      <c r="J32" s="257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</row>
    <row r="33" spans="1:26" ht="63" customHeight="1" thickBot="1">
      <c r="A33" s="432"/>
      <c r="B33" s="387"/>
      <c r="C33" s="258"/>
      <c r="D33" s="257"/>
      <c r="E33" s="257"/>
      <c r="F33" s="114">
        <v>320</v>
      </c>
      <c r="G33" s="115" t="s">
        <v>994</v>
      </c>
      <c r="H33" s="258"/>
      <c r="I33" s="258"/>
      <c r="J33" s="258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</row>
    <row r="34" spans="1:26" ht="81" customHeight="1" thickBot="1">
      <c r="A34" s="432"/>
      <c r="B34" s="478" t="s">
        <v>989</v>
      </c>
      <c r="C34" s="223" t="s">
        <v>990</v>
      </c>
      <c r="D34" s="257"/>
      <c r="E34" s="257"/>
      <c r="F34" s="144">
        <v>2400</v>
      </c>
      <c r="G34" s="115" t="s">
        <v>991</v>
      </c>
      <c r="H34" s="197" t="s">
        <v>992</v>
      </c>
      <c r="I34" s="197" t="s">
        <v>926</v>
      </c>
      <c r="J34" s="197" t="s">
        <v>978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</row>
    <row r="35" spans="1:26" ht="61" customHeight="1" thickBot="1">
      <c r="A35" s="432"/>
      <c r="B35" s="351"/>
      <c r="C35" s="257"/>
      <c r="D35" s="257"/>
      <c r="E35" s="257"/>
      <c r="F35" s="479" t="s">
        <v>44</v>
      </c>
      <c r="G35" s="262"/>
      <c r="H35" s="257"/>
      <c r="I35" s="257"/>
      <c r="J35" s="257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</row>
    <row r="36" spans="1:26" ht="60" customHeight="1" thickBot="1">
      <c r="A36" s="369"/>
      <c r="B36" s="387"/>
      <c r="C36" s="258"/>
      <c r="D36" s="258"/>
      <c r="E36" s="258"/>
      <c r="F36" s="114">
        <v>200</v>
      </c>
      <c r="G36" s="115" t="s">
        <v>994</v>
      </c>
      <c r="H36" s="258"/>
      <c r="I36" s="258"/>
      <c r="J36" s="258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</row>
    <row r="37" spans="1:26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</row>
    <row r="38" spans="1:26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</row>
    <row r="39" spans="1:26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</row>
    <row r="40" spans="1:26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</row>
    <row r="41" spans="1:26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</row>
    <row r="42" spans="1:26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</row>
    <row r="43" spans="1:26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</row>
    <row r="44" spans="1:26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</row>
    <row r="45" spans="1:26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</row>
    <row r="46" spans="1:26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</row>
    <row r="47" spans="1:26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</row>
    <row r="48" spans="1:26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</row>
    <row r="49" spans="1:26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</row>
    <row r="50" spans="1:26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</row>
    <row r="51" spans="1:26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</row>
    <row r="52" spans="1:26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</row>
    <row r="53" spans="1:26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</row>
    <row r="54" spans="1:26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</row>
    <row r="55" spans="1:26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</row>
    <row r="56" spans="1:26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</row>
    <row r="57" spans="1:26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</row>
    <row r="58" spans="1:26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</row>
    <row r="59" spans="1:26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</row>
    <row r="60" spans="1:26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</row>
    <row r="61" spans="1:26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</row>
    <row r="62" spans="1:26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</row>
    <row r="63" spans="1:26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</row>
    <row r="64" spans="1:26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</row>
    <row r="65" spans="1:26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</row>
    <row r="66" spans="1:26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</row>
    <row r="67" spans="1:26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</row>
    <row r="68" spans="1:26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</row>
    <row r="69" spans="1:26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</row>
    <row r="70" spans="1:26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</row>
    <row r="71" spans="1:26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</row>
    <row r="72" spans="1:26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</row>
    <row r="73" spans="1:26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</row>
    <row r="74" spans="1:26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</row>
    <row r="75" spans="1:26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</row>
    <row r="76" spans="1:26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</row>
    <row r="77" spans="1:26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</row>
    <row r="78" spans="1:26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</row>
    <row r="79" spans="1:26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</row>
    <row r="80" spans="1:26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</row>
    <row r="81" spans="1:26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</row>
    <row r="82" spans="1:26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</row>
    <row r="83" spans="1:26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</row>
    <row r="84" spans="1:26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</row>
    <row r="85" spans="1:26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</row>
    <row r="86" spans="1:26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</row>
    <row r="87" spans="1:26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</row>
    <row r="88" spans="1:26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</row>
    <row r="89" spans="1:26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</row>
    <row r="90" spans="1:26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</row>
    <row r="91" spans="1:26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</row>
    <row r="92" spans="1:26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</row>
    <row r="93" spans="1:26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</row>
    <row r="94" spans="1:26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</row>
    <row r="95" spans="1:26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</row>
    <row r="96" spans="1:26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</row>
    <row r="97" spans="1:26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</row>
    <row r="98" spans="1:26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</row>
    <row r="99" spans="1:26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</row>
    <row r="100" spans="1:26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</row>
    <row r="101" spans="1:26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</row>
    <row r="102" spans="1:26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</row>
    <row r="103" spans="1:26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</row>
    <row r="104" spans="1:26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</row>
    <row r="105" spans="1:26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</row>
    <row r="106" spans="1:26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</row>
    <row r="107" spans="1:26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</row>
    <row r="108" spans="1:26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</row>
    <row r="109" spans="1:26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</row>
    <row r="110" spans="1:26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</row>
    <row r="111" spans="1:26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</row>
    <row r="112" spans="1:26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</row>
    <row r="113" spans="1:26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</row>
    <row r="114" spans="1:26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</row>
    <row r="115" spans="1:26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</row>
    <row r="116" spans="1:26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</row>
    <row r="117" spans="1:26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</row>
    <row r="118" spans="1:26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</row>
    <row r="119" spans="1:26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</row>
    <row r="120" spans="1:26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</row>
    <row r="121" spans="1:26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</row>
    <row r="122" spans="1:26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</row>
    <row r="123" spans="1:26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</row>
    <row r="124" spans="1:26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</row>
    <row r="125" spans="1:26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:26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</row>
    <row r="127" spans="1:26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</row>
    <row r="128" spans="1:26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</row>
    <row r="129" spans="1:26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</row>
    <row r="130" spans="1:26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</row>
    <row r="131" spans="1:26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</row>
    <row r="132" spans="1:26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</row>
    <row r="133" spans="1:26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</row>
    <row r="134" spans="1:26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</row>
    <row r="135" spans="1:26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</row>
    <row r="136" spans="1:26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</row>
    <row r="137" spans="1:26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</row>
    <row r="138" spans="1:26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</row>
    <row r="139" spans="1:26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</row>
    <row r="140" spans="1:26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</row>
    <row r="141" spans="1:26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</row>
    <row r="142" spans="1:26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</row>
    <row r="143" spans="1:26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</row>
    <row r="144" spans="1:26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</row>
    <row r="145" spans="1:26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</row>
    <row r="146" spans="1:26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</row>
    <row r="147" spans="1:26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</row>
    <row r="148" spans="1:26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</row>
    <row r="149" spans="1:26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</row>
    <row r="150" spans="1:26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</row>
    <row r="151" spans="1:26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</row>
    <row r="152" spans="1:26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</row>
    <row r="153" spans="1:26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</row>
    <row r="154" spans="1:26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</row>
    <row r="155" spans="1:26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</row>
    <row r="156" spans="1:26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</row>
    <row r="157" spans="1:26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</row>
    <row r="158" spans="1:26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</row>
    <row r="159" spans="1:26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</row>
    <row r="160" spans="1:26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</row>
    <row r="161" spans="1:26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</row>
    <row r="162" spans="1:26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</row>
    <row r="163" spans="1:26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</row>
    <row r="164" spans="1:26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</row>
    <row r="165" spans="1:26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</row>
    <row r="166" spans="1:26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</row>
    <row r="167" spans="1:26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</row>
    <row r="168" spans="1:26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</row>
    <row r="169" spans="1:26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</row>
    <row r="170" spans="1:26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</row>
    <row r="171" spans="1:26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</row>
    <row r="172" spans="1:26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</row>
    <row r="173" spans="1:26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</row>
    <row r="174" spans="1:26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</row>
    <row r="175" spans="1:26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</row>
    <row r="176" spans="1:26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</row>
    <row r="177" spans="1:26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</row>
    <row r="178" spans="1:26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</row>
    <row r="179" spans="1:26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</row>
    <row r="180" spans="1:26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</row>
    <row r="181" spans="1:26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</row>
    <row r="182" spans="1:26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</row>
    <row r="183" spans="1:26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</row>
    <row r="184" spans="1:26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</row>
    <row r="185" spans="1:26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</row>
    <row r="186" spans="1:26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</row>
    <row r="187" spans="1:26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</row>
    <row r="188" spans="1:26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</row>
    <row r="189" spans="1:26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</row>
    <row r="190" spans="1:26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</row>
    <row r="191" spans="1:26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</row>
    <row r="192" spans="1:26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</row>
    <row r="193" spans="1:26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</row>
    <row r="194" spans="1:26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</row>
    <row r="195" spans="1:26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</row>
    <row r="196" spans="1:26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</row>
    <row r="197" spans="1:26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</row>
    <row r="198" spans="1:26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</row>
    <row r="199" spans="1:26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</row>
    <row r="200" spans="1:26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</row>
    <row r="201" spans="1:26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</row>
    <row r="202" spans="1:26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</row>
    <row r="203" spans="1:26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</row>
    <row r="204" spans="1:26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</row>
    <row r="205" spans="1:26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</row>
    <row r="206" spans="1:26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</row>
    <row r="207" spans="1:26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</row>
    <row r="208" spans="1:26" ht="15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</row>
    <row r="209" spans="1:26" ht="15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</row>
    <row r="210" spans="1:26" ht="15.7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</row>
    <row r="211" spans="1:26" ht="15.7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</row>
    <row r="212" spans="1:26" ht="15.75" customHeigh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</row>
    <row r="213" spans="1:26" ht="15.75" customHeigh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</row>
    <row r="214" spans="1:26" ht="15.75" customHeigh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</row>
    <row r="215" spans="1:26" ht="15.75" customHeight="1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</row>
    <row r="216" spans="1:26" ht="15.75" customHeight="1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</row>
    <row r="217" spans="1:26" ht="15.75" customHeight="1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</row>
    <row r="218" spans="1:26" ht="15.75" customHeight="1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</row>
    <row r="219" spans="1:26" ht="15.75" customHeight="1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</row>
    <row r="220" spans="1:26" ht="15.75" customHeight="1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</row>
    <row r="221" spans="1:26" ht="15.75" customHeight="1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</row>
    <row r="222" spans="1:26" ht="15.75" customHeight="1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</row>
    <row r="223" spans="1:26" ht="15.75" customHeight="1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</row>
    <row r="224" spans="1:26" ht="15.75" customHeight="1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</row>
    <row r="225" spans="1:26" ht="15.75" customHeight="1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</row>
    <row r="226" spans="1:26" ht="15.75" customHeight="1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</row>
    <row r="227" spans="1:26" ht="15.75" customHeight="1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</row>
    <row r="228" spans="1:26" ht="15.75" customHeight="1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</row>
    <row r="229" spans="1:26" ht="15.75" customHeight="1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</row>
    <row r="230" spans="1:26" ht="15.75" customHeight="1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</row>
    <row r="231" spans="1:26" ht="15.75" customHeight="1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</row>
    <row r="232" spans="1:26" ht="15.75" customHeight="1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</row>
    <row r="233" spans="1:26" ht="15.75" customHeight="1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</row>
    <row r="234" spans="1:26" ht="15.75" customHeight="1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</row>
    <row r="235" spans="1:26" ht="15.75" customHeight="1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</row>
    <row r="236" spans="1:26" ht="15.75" customHeight="1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</row>
    <row r="237" spans="1:26" ht="15.75" customHeight="1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</row>
    <row r="238" spans="1:26" ht="15.75" customHeight="1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</row>
    <row r="239" spans="1:26" ht="15.75" customHeight="1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</row>
    <row r="240" spans="1:26" ht="15.75" customHeight="1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</row>
    <row r="241" spans="1:26" ht="15.75" customHeight="1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</row>
    <row r="242" spans="1:26" ht="15.75" customHeight="1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</row>
    <row r="243" spans="1:26" ht="15.75" customHeight="1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</row>
    <row r="244" spans="1:26" ht="15.75" customHeight="1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</row>
    <row r="245" spans="1:26" ht="15.75" customHeight="1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</row>
    <row r="246" spans="1:26" ht="15.75" customHeight="1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</row>
    <row r="247" spans="1:26" ht="15.75" customHeight="1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</row>
    <row r="248" spans="1:26" ht="15.75" customHeight="1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</row>
    <row r="249" spans="1:26" ht="15.75" customHeight="1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</row>
    <row r="250" spans="1:26" ht="15.75" customHeight="1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</row>
    <row r="251" spans="1:26" ht="15.75" customHeight="1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</row>
    <row r="252" spans="1:26" ht="15.75" customHeight="1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</row>
    <row r="253" spans="1:26" ht="15.75" customHeight="1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</row>
    <row r="254" spans="1:26" ht="15.75" customHeight="1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</row>
    <row r="255" spans="1:26" ht="15.75" customHeight="1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</row>
    <row r="256" spans="1:26" ht="15.75" customHeight="1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</row>
    <row r="257" spans="1:26" ht="15.75" customHeight="1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</row>
    <row r="258" spans="1:26" ht="15.75" customHeight="1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</row>
    <row r="259" spans="1:26" ht="15.75" customHeight="1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</row>
    <row r="260" spans="1:26" ht="15.75" customHeight="1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</row>
    <row r="261" spans="1:26" ht="15.75" customHeight="1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</row>
    <row r="262" spans="1:26" ht="15.75" customHeight="1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</row>
    <row r="263" spans="1:26" ht="15.75" customHeight="1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</row>
    <row r="264" spans="1:26" ht="15.75" customHeight="1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</row>
    <row r="265" spans="1:26" ht="15.75" customHeight="1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</row>
    <row r="266" spans="1:26" ht="15.75" customHeight="1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</row>
    <row r="267" spans="1:26" ht="15.75" customHeight="1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</row>
    <row r="268" spans="1:26" ht="15.75" customHeight="1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</row>
    <row r="269" spans="1:26" ht="15.75" customHeight="1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</row>
    <row r="270" spans="1:26" ht="15.75" customHeight="1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</row>
    <row r="271" spans="1:26" ht="15.75" customHeight="1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</row>
    <row r="272" spans="1:26" ht="15.75" customHeight="1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</row>
    <row r="273" spans="1:26" ht="15.75" customHeight="1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</row>
    <row r="274" spans="1:26" ht="15.75" customHeight="1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</row>
    <row r="275" spans="1:26" ht="15.75" customHeight="1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</row>
    <row r="276" spans="1:26" ht="15.75" customHeight="1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</row>
    <row r="277" spans="1:26" ht="15.75" customHeight="1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</row>
    <row r="278" spans="1:26" ht="15.75" customHeight="1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</row>
    <row r="279" spans="1:26" ht="15.75" customHeight="1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</row>
    <row r="280" spans="1:26" ht="15.75" customHeight="1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</row>
    <row r="281" spans="1:26" ht="15.75" customHeight="1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</row>
    <row r="282" spans="1:26" ht="15.75" customHeight="1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</row>
    <row r="283" spans="1:26" ht="15.75" customHeight="1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</row>
    <row r="284" spans="1:26" ht="15.75" customHeight="1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</row>
    <row r="285" spans="1:26" ht="15.75" customHeight="1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</row>
    <row r="286" spans="1:26" ht="15.75" customHeight="1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</row>
    <row r="287" spans="1:26" ht="15.75" customHeight="1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</row>
    <row r="288" spans="1:26" ht="15.75" customHeight="1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</row>
    <row r="289" spans="1:26" ht="15.75" customHeight="1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</row>
    <row r="290" spans="1:26" ht="15.75" customHeight="1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</row>
    <row r="291" spans="1:26" ht="15.75" customHeight="1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</row>
    <row r="292" spans="1:26" ht="15.75" customHeight="1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</row>
    <row r="293" spans="1:26" ht="15.75" customHeight="1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</row>
    <row r="294" spans="1:26" ht="15.75" customHeight="1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</row>
    <row r="295" spans="1:26" ht="15.75" customHeight="1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</row>
    <row r="296" spans="1:26" ht="15.75" customHeight="1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</row>
    <row r="297" spans="1:26" ht="15.75" customHeight="1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</row>
    <row r="298" spans="1:26" ht="15.75" customHeight="1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</row>
    <row r="299" spans="1:26" ht="15.75" customHeight="1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</row>
    <row r="300" spans="1:26" ht="15.75" customHeight="1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</row>
    <row r="301" spans="1:26" ht="15.75" customHeight="1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</row>
    <row r="302" spans="1:26" ht="15.75" customHeight="1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</row>
    <row r="303" spans="1:26" ht="15.75" customHeight="1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</row>
    <row r="304" spans="1:26" ht="15.75" customHeight="1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</row>
    <row r="305" spans="1:26" ht="15.75" customHeight="1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</row>
    <row r="306" spans="1:26" ht="15.75" customHeight="1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</row>
    <row r="307" spans="1:26" ht="15.75" customHeight="1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</row>
    <row r="308" spans="1:26" ht="15.75" customHeight="1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</row>
    <row r="309" spans="1:26" ht="15.75" customHeight="1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</row>
    <row r="310" spans="1:26" ht="15.75" customHeight="1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</row>
    <row r="311" spans="1:26" ht="15.75" customHeight="1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</row>
    <row r="312" spans="1:26" ht="15.75" customHeight="1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</row>
    <row r="313" spans="1:26" ht="15.75" customHeight="1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</row>
    <row r="314" spans="1:26" ht="15.75" customHeight="1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</row>
    <row r="315" spans="1:26" ht="15.75" customHeight="1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</row>
    <row r="316" spans="1:26" ht="15.75" customHeight="1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</row>
    <row r="317" spans="1:26" ht="15.75" customHeight="1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</row>
    <row r="318" spans="1:26" ht="15.75" customHeight="1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</row>
    <row r="319" spans="1:26" ht="15.75" customHeight="1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</row>
    <row r="320" spans="1:26" ht="15.75" customHeight="1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</row>
    <row r="321" spans="1:26" ht="15.75" customHeight="1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</row>
    <row r="322" spans="1:26" ht="15.75" customHeight="1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</row>
    <row r="323" spans="1:26" ht="15.75" customHeight="1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</row>
    <row r="324" spans="1:26" ht="15.75" customHeight="1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</row>
    <row r="325" spans="1:26" ht="15.75" customHeight="1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</row>
    <row r="326" spans="1:26" ht="15.75" customHeight="1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</row>
    <row r="327" spans="1:26" ht="15.75" customHeight="1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</row>
    <row r="328" spans="1:26" ht="15.75" customHeight="1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</row>
    <row r="329" spans="1:26" ht="15.75" customHeight="1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</row>
    <row r="330" spans="1:26" ht="15.75" customHeight="1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</row>
    <row r="331" spans="1:26" ht="15.75" customHeight="1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</row>
    <row r="332" spans="1:26" ht="15.75" customHeight="1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</row>
    <row r="333" spans="1:26" ht="15.75" customHeight="1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</row>
    <row r="334" spans="1:26" ht="15.75" customHeight="1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</row>
    <row r="335" spans="1:26" ht="15.75" customHeight="1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</row>
    <row r="336" spans="1:26" ht="15.75" customHeight="1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</row>
    <row r="337" spans="1:26" ht="15.75" customHeight="1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</row>
    <row r="338" spans="1:26" ht="15.75" customHeight="1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</row>
    <row r="339" spans="1:26" ht="15.75" customHeight="1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</row>
    <row r="340" spans="1:26" ht="15.75" customHeight="1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</row>
    <row r="341" spans="1:26" ht="15.75" customHeight="1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</row>
    <row r="342" spans="1:26" ht="15.75" customHeight="1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</row>
    <row r="343" spans="1:26" ht="15.75" customHeight="1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</row>
    <row r="344" spans="1:26" ht="15.75" customHeight="1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</row>
    <row r="345" spans="1:26" ht="15.75" customHeight="1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</row>
    <row r="346" spans="1:26" ht="15.75" customHeight="1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</row>
    <row r="347" spans="1:26" ht="15.75" customHeight="1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</row>
    <row r="348" spans="1:26" ht="15.75" customHeight="1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</row>
    <row r="349" spans="1:26" ht="15.75" customHeight="1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</row>
    <row r="350" spans="1:26" ht="15.75" customHeight="1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</row>
    <row r="351" spans="1:26" ht="15.75" customHeight="1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</row>
    <row r="352" spans="1:26" ht="15.75" customHeight="1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</row>
    <row r="353" spans="1:26" ht="15.75" customHeight="1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</row>
    <row r="354" spans="1:26" ht="15.75" customHeight="1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</row>
    <row r="355" spans="1:26" ht="15.75" customHeight="1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</row>
    <row r="356" spans="1:26" ht="15.75" customHeight="1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</row>
    <row r="357" spans="1:26" ht="15.75" customHeight="1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</row>
    <row r="358" spans="1:26" ht="15.75" customHeight="1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</row>
    <row r="359" spans="1:26" ht="15.75" customHeight="1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</row>
    <row r="360" spans="1:26" ht="15.75" customHeight="1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</row>
    <row r="361" spans="1:26" ht="15.75" customHeight="1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</row>
    <row r="362" spans="1:26" ht="15.75" customHeight="1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</row>
    <row r="363" spans="1:26" ht="15.75" customHeight="1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</row>
    <row r="364" spans="1:26" ht="15.75" customHeight="1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</row>
    <row r="365" spans="1:26" ht="15.75" customHeight="1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</row>
    <row r="366" spans="1:26" ht="15.75" customHeight="1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</row>
    <row r="367" spans="1:26" ht="15.75" customHeight="1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</row>
    <row r="368" spans="1:26" ht="15.75" customHeight="1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</row>
    <row r="369" spans="1:26" ht="15.75" customHeight="1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</row>
    <row r="370" spans="1:26" ht="15.75" customHeight="1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</row>
    <row r="371" spans="1:26" ht="15.75" customHeight="1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</row>
    <row r="372" spans="1:26" ht="15.75" customHeight="1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</row>
    <row r="373" spans="1:26" ht="15.75" customHeight="1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</row>
    <row r="374" spans="1:26" ht="15.75" customHeight="1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</row>
    <row r="375" spans="1:26" ht="15.75" customHeight="1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</row>
    <row r="376" spans="1:26" ht="15.75" customHeight="1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</row>
    <row r="377" spans="1:26" ht="15.75" customHeight="1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</row>
    <row r="378" spans="1:26" ht="15.75" customHeight="1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</row>
    <row r="379" spans="1:26" ht="15.75" customHeight="1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</row>
    <row r="380" spans="1:26" ht="15.75" customHeight="1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</row>
    <row r="381" spans="1:26" ht="15.75" customHeight="1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</row>
    <row r="382" spans="1:26" ht="15.75" customHeight="1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</row>
    <row r="383" spans="1:26" ht="15.75" customHeight="1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</row>
    <row r="384" spans="1:26" ht="15.75" customHeight="1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</row>
    <row r="385" spans="1:26" ht="15.75" customHeight="1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</row>
    <row r="386" spans="1:26" ht="15.75" customHeight="1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</row>
    <row r="387" spans="1:26" ht="15.75" customHeight="1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</row>
    <row r="388" spans="1:26" ht="15.75" customHeight="1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</row>
    <row r="389" spans="1:26" ht="15.75" customHeight="1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</row>
    <row r="390" spans="1:26" ht="15.75" customHeight="1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</row>
    <row r="391" spans="1:26" ht="15.75" customHeight="1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</row>
    <row r="392" spans="1:26" ht="15.75" customHeight="1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</row>
    <row r="393" spans="1:26" ht="15.75" customHeight="1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</row>
    <row r="394" spans="1:26" ht="15.75" customHeight="1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</row>
    <row r="395" spans="1:26" ht="15.75" customHeight="1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</row>
    <row r="396" spans="1:26" ht="15.75" customHeight="1">
      <c r="A396" s="90"/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</row>
    <row r="397" spans="1:26" ht="15.75" customHeight="1">
      <c r="A397" s="90"/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</row>
    <row r="398" spans="1:26" ht="15.75" customHeight="1">
      <c r="A398" s="90"/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</row>
    <row r="399" spans="1:26" ht="15.75" customHeight="1">
      <c r="A399" s="90"/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</row>
    <row r="400" spans="1:26" ht="15.75" customHeight="1">
      <c r="A400" s="90"/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</row>
    <row r="401" spans="1:26" ht="15.75" customHeight="1">
      <c r="A401" s="90"/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</row>
    <row r="402" spans="1:26" ht="15.75" customHeight="1">
      <c r="A402" s="90"/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</row>
    <row r="403" spans="1:26" ht="15.75" customHeight="1">
      <c r="A403" s="90"/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</row>
    <row r="404" spans="1:26" ht="15.75" customHeight="1">
      <c r="A404" s="90"/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</row>
    <row r="405" spans="1:26" ht="15.75" customHeight="1">
      <c r="A405" s="90"/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</row>
    <row r="406" spans="1:26" ht="15.75" customHeight="1">
      <c r="A406" s="90"/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</row>
    <row r="407" spans="1:26" ht="15.75" customHeight="1">
      <c r="A407" s="90"/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</row>
    <row r="408" spans="1:26" ht="15.75" customHeight="1">
      <c r="A408" s="90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</row>
    <row r="409" spans="1:26" ht="15.75" customHeight="1">
      <c r="A409" s="90"/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</row>
    <row r="410" spans="1:26" ht="15.75" customHeight="1">
      <c r="A410" s="90"/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</row>
    <row r="411" spans="1:26" ht="15.75" customHeight="1">
      <c r="A411" s="90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</row>
    <row r="412" spans="1:26" ht="15.75" customHeight="1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</row>
    <row r="413" spans="1:26" ht="15.75" customHeight="1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</row>
    <row r="414" spans="1:26" ht="15.75" customHeight="1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</row>
    <row r="415" spans="1:26" ht="15.75" customHeight="1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</row>
    <row r="416" spans="1:26" ht="15.75" customHeight="1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</row>
    <row r="417" spans="1:26" ht="15.75" customHeight="1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</row>
    <row r="418" spans="1:26" ht="15.75" customHeight="1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</row>
    <row r="419" spans="1:26" ht="15.75" customHeight="1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</row>
    <row r="420" spans="1:26" ht="15.75" customHeight="1">
      <c r="A420" s="90"/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</row>
    <row r="421" spans="1:26" ht="15.75" customHeight="1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</row>
    <row r="422" spans="1:26" ht="15.75" customHeight="1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</row>
    <row r="423" spans="1:26" ht="15.75" customHeight="1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</row>
    <row r="424" spans="1:26" ht="15.75" customHeight="1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</row>
    <row r="425" spans="1:26" ht="15.75" customHeight="1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</row>
    <row r="426" spans="1:26" ht="15.75" customHeight="1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</row>
    <row r="427" spans="1:26" ht="15.75" customHeight="1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</row>
    <row r="428" spans="1:26" ht="15.75" customHeight="1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</row>
    <row r="429" spans="1:26" ht="15.75" customHeight="1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</row>
    <row r="430" spans="1:26" ht="15.75" customHeight="1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</row>
    <row r="431" spans="1:26" ht="15.75" customHeight="1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</row>
    <row r="432" spans="1:26" ht="15.75" customHeight="1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</row>
    <row r="433" spans="1:26" ht="15.75" customHeight="1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</row>
    <row r="434" spans="1:26" ht="15.75" customHeight="1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</row>
    <row r="435" spans="1:26" ht="15.75" customHeight="1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</row>
    <row r="436" spans="1:26" ht="15.75" customHeight="1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</row>
    <row r="437" spans="1:26" ht="15.75" customHeight="1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</row>
    <row r="438" spans="1:26" ht="15.75" customHeight="1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</row>
    <row r="439" spans="1:26" ht="15.75" customHeight="1">
      <c r="A439" s="90"/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</row>
    <row r="440" spans="1:26" ht="15.75" customHeight="1">
      <c r="A440" s="90"/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</row>
    <row r="441" spans="1:26" ht="15.75" customHeight="1">
      <c r="A441" s="90"/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</row>
    <row r="442" spans="1:26" ht="15.75" customHeight="1">
      <c r="A442" s="90"/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</row>
    <row r="443" spans="1:26" ht="15.75" customHeight="1">
      <c r="A443" s="90"/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</row>
    <row r="444" spans="1:26" ht="15.75" customHeight="1">
      <c r="A444" s="90"/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</row>
    <row r="445" spans="1:26" ht="15.75" customHeight="1">
      <c r="A445" s="90"/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</row>
    <row r="446" spans="1:26" ht="15.75" customHeight="1">
      <c r="A446" s="90"/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</row>
    <row r="447" spans="1:26" ht="15.75" customHeight="1">
      <c r="A447" s="90"/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</row>
    <row r="448" spans="1:26" ht="15.75" customHeight="1">
      <c r="A448" s="90"/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</row>
    <row r="449" spans="1:26" ht="15.75" customHeight="1">
      <c r="A449" s="90"/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</row>
    <row r="450" spans="1:26" ht="15.75" customHeight="1">
      <c r="A450" s="90"/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</row>
    <row r="451" spans="1:26" ht="15.75" customHeight="1">
      <c r="A451" s="90"/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</row>
    <row r="452" spans="1:26" ht="15.75" customHeight="1">
      <c r="A452" s="90"/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</row>
    <row r="453" spans="1:26" ht="15.75" customHeight="1">
      <c r="A453" s="90"/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</row>
    <row r="454" spans="1:26" ht="15.75" customHeight="1">
      <c r="A454" s="90"/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</row>
    <row r="455" spans="1:26" ht="15.75" customHeight="1">
      <c r="A455" s="90"/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</row>
    <row r="456" spans="1:26" ht="15.75" customHeight="1">
      <c r="A456" s="90"/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</row>
    <row r="457" spans="1:26" ht="15.75" customHeight="1">
      <c r="A457" s="90"/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</row>
    <row r="458" spans="1:26" ht="15.75" customHeight="1">
      <c r="A458" s="90"/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</row>
    <row r="459" spans="1:26" ht="15.75" customHeight="1">
      <c r="A459" s="90"/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</row>
    <row r="460" spans="1:26" ht="15.75" customHeight="1">
      <c r="A460" s="90"/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</row>
    <row r="461" spans="1:26" ht="15.75" customHeight="1">
      <c r="A461" s="90"/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</row>
    <row r="462" spans="1:26" ht="15.75" customHeight="1">
      <c r="A462" s="90"/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</row>
    <row r="463" spans="1:26" ht="15.75" customHeight="1">
      <c r="A463" s="90"/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</row>
    <row r="464" spans="1:26" ht="15.75" customHeight="1">
      <c r="A464" s="90"/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</row>
    <row r="465" spans="1:26" ht="15.75" customHeight="1">
      <c r="A465" s="90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</row>
    <row r="466" spans="1:26" ht="15.75" customHeight="1">
      <c r="A466" s="90"/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</row>
    <row r="467" spans="1:26" ht="15.75" customHeight="1">
      <c r="A467" s="90"/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</row>
    <row r="468" spans="1:26" ht="15.75" customHeight="1">
      <c r="A468" s="90"/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</row>
    <row r="469" spans="1:26" ht="15.75" customHeight="1">
      <c r="A469" s="90"/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</row>
    <row r="470" spans="1:26" ht="15.75" customHeight="1">
      <c r="A470" s="90"/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</row>
    <row r="471" spans="1:26" ht="15.75" customHeight="1">
      <c r="A471" s="90"/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</row>
    <row r="472" spans="1:26" ht="15.75" customHeight="1">
      <c r="A472" s="90"/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</row>
    <row r="473" spans="1:26" ht="15.75" customHeight="1">
      <c r="A473" s="90"/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</row>
    <row r="474" spans="1:26" ht="15.75" customHeight="1">
      <c r="A474" s="90"/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</row>
    <row r="475" spans="1:26" ht="15.75" customHeight="1">
      <c r="A475" s="90"/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</row>
    <row r="476" spans="1:26" ht="15.75" customHeight="1">
      <c r="A476" s="90"/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</row>
    <row r="477" spans="1:26" ht="15.75" customHeight="1">
      <c r="A477" s="90"/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</row>
    <row r="478" spans="1:26" ht="15.75" customHeight="1">
      <c r="A478" s="90"/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</row>
    <row r="479" spans="1:26" ht="15.75" customHeight="1">
      <c r="A479" s="90"/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</row>
    <row r="480" spans="1:26" ht="15.75" customHeight="1">
      <c r="A480" s="90"/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</row>
    <row r="481" spans="1:26" ht="15.75" customHeight="1">
      <c r="A481" s="90"/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</row>
    <row r="482" spans="1:26" ht="15.75" customHeight="1">
      <c r="A482" s="90"/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</row>
    <row r="483" spans="1:26" ht="15.75" customHeight="1">
      <c r="A483" s="90"/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</row>
    <row r="484" spans="1:26" ht="15.75" customHeight="1">
      <c r="A484" s="90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</row>
    <row r="485" spans="1:26" ht="15.75" customHeight="1">
      <c r="A485" s="90"/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</row>
    <row r="486" spans="1:26" ht="15.75" customHeight="1">
      <c r="A486" s="90"/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</row>
    <row r="487" spans="1:26" ht="15.75" customHeight="1">
      <c r="A487" s="90"/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</row>
    <row r="488" spans="1:26" ht="15.75" customHeight="1">
      <c r="A488" s="90"/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</row>
    <row r="489" spans="1:26" ht="15.75" customHeight="1">
      <c r="A489" s="90"/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</row>
    <row r="490" spans="1:26" ht="15.75" customHeight="1">
      <c r="A490" s="90"/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</row>
    <row r="491" spans="1:26" ht="15.75" customHeight="1">
      <c r="A491" s="90"/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</row>
    <row r="492" spans="1:26" ht="15.75" customHeight="1">
      <c r="A492" s="90"/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</row>
    <row r="493" spans="1:26" ht="15.75" customHeight="1">
      <c r="A493" s="90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</row>
    <row r="494" spans="1:26" ht="15.75" customHeight="1">
      <c r="A494" s="90"/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</row>
    <row r="495" spans="1:26" ht="15.75" customHeight="1">
      <c r="A495" s="90"/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</row>
    <row r="496" spans="1:26" ht="15.75" customHeight="1">
      <c r="A496" s="90"/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</row>
    <row r="497" spans="1:26" ht="15.75" customHeight="1">
      <c r="A497" s="90"/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</row>
    <row r="498" spans="1:26" ht="15.75" customHeight="1">
      <c r="A498" s="90"/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</row>
    <row r="499" spans="1:26" ht="15.75" customHeight="1">
      <c r="A499" s="90"/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</row>
    <row r="500" spans="1:26" ht="15.75" customHeight="1">
      <c r="A500" s="90"/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</row>
    <row r="501" spans="1:26" ht="15.75" customHeight="1">
      <c r="A501" s="90"/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</row>
    <row r="502" spans="1:26" ht="15.75" customHeight="1">
      <c r="A502" s="90"/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</row>
    <row r="503" spans="1:26" ht="15.75" customHeight="1">
      <c r="A503" s="90"/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</row>
    <row r="504" spans="1:26" ht="15.75" customHeight="1">
      <c r="A504" s="90"/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</row>
    <row r="505" spans="1:26" ht="15.75" customHeight="1">
      <c r="A505" s="90"/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</row>
    <row r="506" spans="1:26" ht="15.75" customHeight="1">
      <c r="A506" s="90"/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</row>
    <row r="507" spans="1:26" ht="15.75" customHeight="1">
      <c r="A507" s="90"/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</row>
    <row r="508" spans="1:26" ht="15.75" customHeight="1">
      <c r="A508" s="90"/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</row>
    <row r="509" spans="1:26" ht="15.75" customHeight="1">
      <c r="A509" s="90"/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</row>
    <row r="510" spans="1:26" ht="15.75" customHeight="1">
      <c r="A510" s="90"/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</row>
    <row r="511" spans="1:26" ht="15.75" customHeight="1">
      <c r="A511" s="90"/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</row>
    <row r="512" spans="1:26" ht="15.75" customHeight="1">
      <c r="A512" s="90"/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</row>
    <row r="513" spans="1:26" ht="15.75" customHeight="1">
      <c r="A513" s="90"/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</row>
    <row r="514" spans="1:26" ht="15.75" customHeight="1">
      <c r="A514" s="90"/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</row>
    <row r="515" spans="1:26" ht="15.75" customHeight="1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</row>
    <row r="516" spans="1:26" ht="15.75" customHeight="1">
      <c r="A516" s="90"/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</row>
    <row r="517" spans="1:26" ht="15.75" customHeight="1">
      <c r="A517" s="90"/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</row>
    <row r="518" spans="1:26" ht="15.75" customHeight="1">
      <c r="A518" s="90"/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</row>
    <row r="519" spans="1:26" ht="15.75" customHeight="1">
      <c r="A519" s="90"/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</row>
    <row r="520" spans="1:26" ht="15.75" customHeight="1">
      <c r="A520" s="90"/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</row>
    <row r="521" spans="1:26" ht="15.75" customHeight="1">
      <c r="A521" s="90"/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</row>
    <row r="522" spans="1:26" ht="15.75" customHeight="1">
      <c r="A522" s="90"/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</row>
    <row r="523" spans="1:26" ht="15.75" customHeight="1">
      <c r="A523" s="90"/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</row>
    <row r="524" spans="1:26" ht="15.75" customHeight="1">
      <c r="A524" s="90"/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</row>
    <row r="525" spans="1:26" ht="15.75" customHeight="1">
      <c r="A525" s="90"/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</row>
    <row r="526" spans="1:26" ht="15.75" customHeight="1">
      <c r="A526" s="90"/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</row>
    <row r="527" spans="1:26" ht="15.75" customHeight="1">
      <c r="A527" s="90"/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</row>
    <row r="528" spans="1:26" ht="15.75" customHeight="1">
      <c r="A528" s="90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</row>
    <row r="529" spans="1:26" ht="15.75" customHeight="1">
      <c r="A529" s="90"/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</row>
    <row r="530" spans="1:26" ht="15.75" customHeight="1">
      <c r="A530" s="90"/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</row>
    <row r="531" spans="1:26" ht="15.75" customHeight="1">
      <c r="A531" s="90"/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</row>
    <row r="532" spans="1:26" ht="15.75" customHeight="1">
      <c r="A532" s="90"/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</row>
    <row r="533" spans="1:26" ht="15.75" customHeight="1">
      <c r="A533" s="90"/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</row>
    <row r="534" spans="1:26" ht="15.75" customHeight="1">
      <c r="A534" s="90"/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</row>
    <row r="535" spans="1:26" ht="15.75" customHeight="1">
      <c r="A535" s="90"/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</row>
    <row r="536" spans="1:26" ht="15.75" customHeight="1">
      <c r="A536" s="90"/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</row>
    <row r="537" spans="1:26" ht="15.75" customHeight="1">
      <c r="A537" s="90"/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</row>
    <row r="538" spans="1:26" ht="15.75" customHeight="1">
      <c r="A538" s="90"/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</row>
    <row r="539" spans="1:26" ht="15.75" customHeight="1">
      <c r="A539" s="90"/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</row>
    <row r="540" spans="1:26" ht="15.75" customHeight="1">
      <c r="A540" s="90"/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</row>
    <row r="541" spans="1:26" ht="15.75" customHeight="1">
      <c r="A541" s="90"/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</row>
    <row r="542" spans="1:26" ht="15.75" customHeight="1">
      <c r="A542" s="90"/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</row>
    <row r="543" spans="1:26" ht="15.75" customHeight="1">
      <c r="A543" s="90"/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</row>
    <row r="544" spans="1:26" ht="15.75" customHeight="1">
      <c r="A544" s="90"/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</row>
    <row r="545" spans="1:26" ht="15.75" customHeight="1">
      <c r="A545" s="90"/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</row>
    <row r="546" spans="1:26" ht="15.75" customHeight="1">
      <c r="A546" s="90"/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</row>
    <row r="547" spans="1:26" ht="15.75" customHeight="1">
      <c r="A547" s="90"/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</row>
    <row r="548" spans="1:26" ht="15.75" customHeight="1">
      <c r="A548" s="90"/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</row>
    <row r="549" spans="1:26" ht="15.75" customHeight="1">
      <c r="A549" s="90"/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</row>
    <row r="550" spans="1:26" ht="15.75" customHeight="1">
      <c r="A550" s="90"/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</row>
    <row r="551" spans="1:26" ht="15.75" customHeight="1">
      <c r="A551" s="90"/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</row>
    <row r="552" spans="1:26" ht="15.75" customHeight="1">
      <c r="A552" s="90"/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</row>
    <row r="553" spans="1:26" ht="15.75" customHeight="1">
      <c r="A553" s="90"/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</row>
    <row r="554" spans="1:26" ht="15.75" customHeight="1">
      <c r="A554" s="90"/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</row>
    <row r="555" spans="1:26" ht="15.75" customHeight="1">
      <c r="A555" s="90"/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</row>
    <row r="556" spans="1:26" ht="15.75" customHeight="1">
      <c r="A556" s="90"/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</row>
    <row r="557" spans="1:26" ht="15.75" customHeight="1">
      <c r="A557" s="90"/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</row>
    <row r="558" spans="1:26" ht="15.75" customHeight="1">
      <c r="A558" s="90"/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</row>
    <row r="559" spans="1:26" ht="15.75" customHeight="1">
      <c r="A559" s="90"/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</row>
    <row r="560" spans="1:26" ht="15.75" customHeight="1">
      <c r="A560" s="90"/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</row>
    <row r="561" spans="1:26" ht="15.75" customHeight="1">
      <c r="A561" s="90"/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</row>
    <row r="562" spans="1:26" ht="15.75" customHeight="1">
      <c r="A562" s="90"/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</row>
    <row r="563" spans="1:26" ht="15.75" customHeight="1">
      <c r="A563" s="90"/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</row>
    <row r="564" spans="1:26" ht="15.75" customHeight="1">
      <c r="A564" s="90"/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</row>
    <row r="565" spans="1:26" ht="15.75" customHeight="1">
      <c r="A565" s="90"/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</row>
    <row r="566" spans="1:26" ht="15.75" customHeight="1">
      <c r="A566" s="90"/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</row>
    <row r="567" spans="1:26" ht="15.75" customHeight="1">
      <c r="A567" s="90"/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</row>
    <row r="568" spans="1:26" ht="15.75" customHeight="1">
      <c r="A568" s="90"/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</row>
    <row r="569" spans="1:26" ht="15.75" customHeight="1">
      <c r="A569" s="90"/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</row>
    <row r="570" spans="1:26" ht="15.75" customHeight="1">
      <c r="A570" s="90"/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</row>
    <row r="571" spans="1:26" ht="15.75" customHeight="1">
      <c r="A571" s="90"/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</row>
    <row r="572" spans="1:26" ht="15.75" customHeight="1">
      <c r="A572" s="90"/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</row>
    <row r="573" spans="1:26" ht="15.75" customHeight="1">
      <c r="A573" s="90"/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</row>
    <row r="574" spans="1:26" ht="15.75" customHeight="1">
      <c r="A574" s="90"/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</row>
    <row r="575" spans="1:26" ht="15.75" customHeight="1">
      <c r="A575" s="90"/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</row>
    <row r="576" spans="1:26" ht="15.75" customHeight="1">
      <c r="A576" s="90"/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</row>
    <row r="577" spans="1:26" ht="15.75" customHeight="1">
      <c r="A577" s="90"/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</row>
    <row r="578" spans="1:26" ht="15.75" customHeight="1">
      <c r="A578" s="90"/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</row>
    <row r="579" spans="1:26" ht="15.75" customHeight="1">
      <c r="A579" s="90"/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</row>
    <row r="580" spans="1:26" ht="15.75" customHeight="1">
      <c r="A580" s="90"/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</row>
    <row r="581" spans="1:26" ht="15.75" customHeight="1">
      <c r="A581" s="90"/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</row>
    <row r="582" spans="1:26" ht="15.75" customHeight="1">
      <c r="A582" s="90"/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</row>
    <row r="583" spans="1:26" ht="15.75" customHeight="1">
      <c r="A583" s="90"/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</row>
    <row r="584" spans="1:26" ht="15.75" customHeight="1">
      <c r="A584" s="90"/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</row>
    <row r="585" spans="1:26" ht="15.75" customHeight="1">
      <c r="A585" s="90"/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</row>
    <row r="586" spans="1:26" ht="15.75" customHeight="1">
      <c r="A586" s="90"/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</row>
    <row r="587" spans="1:26" ht="15.75" customHeight="1">
      <c r="A587" s="90"/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</row>
    <row r="588" spans="1:26" ht="15.75" customHeight="1">
      <c r="A588" s="90"/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</row>
    <row r="589" spans="1:26" ht="15.75" customHeight="1">
      <c r="A589" s="90"/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</row>
    <row r="590" spans="1:26" ht="15.75" customHeight="1">
      <c r="A590" s="90"/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</row>
    <row r="591" spans="1:26" ht="15.75" customHeight="1">
      <c r="A591" s="90"/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</row>
    <row r="592" spans="1:26" ht="15.75" customHeight="1">
      <c r="A592" s="90"/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</row>
    <row r="593" spans="1:26" ht="15.75" customHeight="1">
      <c r="A593" s="90"/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</row>
    <row r="594" spans="1:26" ht="15.75" customHeight="1">
      <c r="A594" s="90"/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</row>
    <row r="595" spans="1:26" ht="15.75" customHeight="1">
      <c r="A595" s="90"/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</row>
    <row r="596" spans="1:26" ht="15.75" customHeight="1">
      <c r="A596" s="90"/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</row>
    <row r="597" spans="1:26" ht="15.75" customHeight="1">
      <c r="A597" s="90"/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</row>
    <row r="598" spans="1:26" ht="15.75" customHeight="1">
      <c r="A598" s="90"/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</row>
    <row r="599" spans="1:26" ht="15.75" customHeight="1">
      <c r="A599" s="90"/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</row>
    <row r="600" spans="1:26" ht="15.75" customHeight="1">
      <c r="A600" s="90"/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</row>
    <row r="601" spans="1:26" ht="15.75" customHeight="1">
      <c r="A601" s="90"/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</row>
    <row r="602" spans="1:26" ht="15.75" customHeight="1">
      <c r="A602" s="90"/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</row>
    <row r="603" spans="1:26" ht="15.75" customHeight="1">
      <c r="A603" s="90"/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</row>
    <row r="604" spans="1:26" ht="15.75" customHeight="1">
      <c r="A604" s="90"/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</row>
    <row r="605" spans="1:26" ht="15.75" customHeight="1">
      <c r="A605" s="90"/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</row>
    <row r="606" spans="1:26" ht="15.75" customHeight="1">
      <c r="A606" s="90"/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</row>
    <row r="607" spans="1:26" ht="15.75" customHeight="1">
      <c r="A607" s="90"/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</row>
    <row r="608" spans="1:26" ht="15.75" customHeight="1">
      <c r="A608" s="90"/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</row>
    <row r="609" spans="1:26" ht="15.75" customHeight="1">
      <c r="A609" s="90"/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</row>
    <row r="610" spans="1:26" ht="15.75" customHeight="1">
      <c r="A610" s="90"/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</row>
    <row r="611" spans="1:26" ht="15.75" customHeight="1">
      <c r="A611" s="90"/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</row>
    <row r="612" spans="1:26" ht="15.75" customHeight="1">
      <c r="A612" s="90"/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</row>
    <row r="613" spans="1:26" ht="15.75" customHeight="1">
      <c r="A613" s="90"/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</row>
    <row r="614" spans="1:26" ht="15.75" customHeight="1">
      <c r="A614" s="90"/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</row>
    <row r="615" spans="1:26" ht="15.75" customHeight="1">
      <c r="A615" s="90"/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</row>
    <row r="616" spans="1:26" ht="15.75" customHeight="1">
      <c r="A616" s="90"/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</row>
    <row r="617" spans="1:26" ht="15.75" customHeight="1">
      <c r="A617" s="90"/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</row>
    <row r="618" spans="1:26" ht="15.75" customHeight="1">
      <c r="A618" s="90"/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</row>
    <row r="619" spans="1:26" ht="15.75" customHeight="1">
      <c r="A619" s="90"/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</row>
    <row r="620" spans="1:26" ht="15.75" customHeight="1">
      <c r="A620" s="90"/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</row>
    <row r="621" spans="1:26" ht="15.75" customHeight="1">
      <c r="A621" s="90"/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</row>
    <row r="622" spans="1:26" ht="15.75" customHeight="1">
      <c r="A622" s="90"/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</row>
    <row r="623" spans="1:26" ht="15.75" customHeight="1">
      <c r="A623" s="90"/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</row>
    <row r="624" spans="1:26" ht="15.75" customHeight="1">
      <c r="A624" s="90"/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</row>
    <row r="625" spans="1:26" ht="15.75" customHeight="1">
      <c r="A625" s="90"/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</row>
    <row r="626" spans="1:26" ht="15.75" customHeight="1">
      <c r="A626" s="90"/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</row>
    <row r="627" spans="1:26" ht="15.75" customHeight="1">
      <c r="A627" s="90"/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</row>
    <row r="628" spans="1:26" ht="15.75" customHeight="1">
      <c r="A628" s="90"/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</row>
    <row r="629" spans="1:26" ht="15.75" customHeight="1">
      <c r="A629" s="90"/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</row>
    <row r="630" spans="1:26" ht="15.75" customHeight="1">
      <c r="A630" s="90"/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</row>
    <row r="631" spans="1:26" ht="15.75" customHeight="1">
      <c r="A631" s="90"/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</row>
    <row r="632" spans="1:26" ht="15.75" customHeight="1">
      <c r="A632" s="90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</row>
    <row r="633" spans="1:26" ht="15.75" customHeight="1">
      <c r="A633" s="90"/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</row>
    <row r="634" spans="1:26" ht="15.75" customHeight="1">
      <c r="A634" s="90"/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</row>
    <row r="635" spans="1:26" ht="15.75" customHeight="1">
      <c r="A635" s="90"/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</row>
    <row r="636" spans="1:26" ht="15.75" customHeight="1">
      <c r="A636" s="90"/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</row>
    <row r="637" spans="1:26" ht="15.75" customHeight="1">
      <c r="A637" s="90"/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</row>
    <row r="638" spans="1:26" ht="15.75" customHeight="1">
      <c r="A638" s="90"/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</row>
    <row r="639" spans="1:26" ht="15.75" customHeight="1">
      <c r="A639" s="90"/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</row>
    <row r="640" spans="1:26" ht="15.75" customHeight="1">
      <c r="A640" s="90"/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</row>
    <row r="641" spans="1:26" ht="15.75" customHeight="1">
      <c r="A641" s="90"/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</row>
    <row r="642" spans="1:26" ht="15.75" customHeight="1">
      <c r="A642" s="90"/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</row>
    <row r="643" spans="1:26" ht="15.75" customHeight="1">
      <c r="A643" s="90"/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</row>
    <row r="644" spans="1:26" ht="15.75" customHeight="1">
      <c r="A644" s="90"/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</row>
    <row r="645" spans="1:26" ht="15.75" customHeight="1">
      <c r="A645" s="90"/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</row>
    <row r="646" spans="1:26" ht="15.75" customHeight="1">
      <c r="A646" s="90"/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</row>
    <row r="647" spans="1:26" ht="15.75" customHeight="1">
      <c r="A647" s="90"/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</row>
    <row r="648" spans="1:26" ht="15.75" customHeight="1">
      <c r="A648" s="90"/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</row>
    <row r="649" spans="1:26" ht="15.75" customHeight="1">
      <c r="A649" s="90"/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</row>
    <row r="650" spans="1:26" ht="15.75" customHeight="1">
      <c r="A650" s="90"/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</row>
    <row r="651" spans="1:26" ht="15.75" customHeight="1">
      <c r="A651" s="90"/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</row>
    <row r="652" spans="1:26" ht="15.75" customHeight="1">
      <c r="A652" s="90"/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</row>
    <row r="653" spans="1:26" ht="15.75" customHeight="1">
      <c r="A653" s="90"/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</row>
    <row r="654" spans="1:26" ht="15.75" customHeight="1">
      <c r="A654" s="90"/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</row>
    <row r="655" spans="1:26" ht="15.75" customHeight="1">
      <c r="A655" s="90"/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</row>
    <row r="656" spans="1:26" ht="15.75" customHeight="1">
      <c r="A656" s="90"/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</row>
    <row r="657" spans="1:26" ht="15.75" customHeight="1">
      <c r="A657" s="90"/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</row>
    <row r="658" spans="1:26" ht="15.75" customHeight="1">
      <c r="A658" s="90"/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</row>
    <row r="659" spans="1:26" ht="15.75" customHeight="1">
      <c r="A659" s="90"/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</row>
    <row r="660" spans="1:26" ht="15.75" customHeight="1">
      <c r="A660" s="90"/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</row>
    <row r="661" spans="1:26" ht="15.75" customHeight="1">
      <c r="A661" s="90"/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</row>
    <row r="662" spans="1:26" ht="15.75" customHeight="1">
      <c r="A662" s="90"/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</row>
    <row r="663" spans="1:26" ht="15.75" customHeight="1">
      <c r="A663" s="90"/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</row>
    <row r="664" spans="1:26" ht="15.75" customHeight="1">
      <c r="A664" s="90"/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</row>
    <row r="665" spans="1:26" ht="15.75" customHeight="1">
      <c r="A665" s="90"/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</row>
    <row r="666" spans="1:26" ht="15.75" customHeight="1">
      <c r="A666" s="90"/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</row>
    <row r="667" spans="1:26" ht="15.75" customHeight="1">
      <c r="A667" s="90"/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</row>
    <row r="668" spans="1:26" ht="15.75" customHeight="1">
      <c r="A668" s="90"/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</row>
    <row r="669" spans="1:26" ht="15.75" customHeight="1">
      <c r="A669" s="90"/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</row>
    <row r="670" spans="1:26" ht="15.75" customHeight="1">
      <c r="A670" s="90"/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</row>
    <row r="671" spans="1:26" ht="15.75" customHeight="1">
      <c r="A671" s="90"/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</row>
    <row r="672" spans="1:26" ht="15.75" customHeight="1">
      <c r="A672" s="90"/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</row>
    <row r="673" spans="1:26" ht="15.75" customHeight="1">
      <c r="A673" s="90"/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</row>
    <row r="674" spans="1:26" ht="15.75" customHeight="1">
      <c r="A674" s="90"/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</row>
    <row r="675" spans="1:26" ht="15.75" customHeight="1">
      <c r="A675" s="90"/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</row>
    <row r="676" spans="1:26" ht="15.75" customHeight="1">
      <c r="A676" s="90"/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</row>
    <row r="677" spans="1:26" ht="15.75" customHeight="1">
      <c r="A677" s="90"/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</row>
    <row r="678" spans="1:26" ht="15.75" customHeight="1">
      <c r="A678" s="90"/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</row>
    <row r="679" spans="1:26" ht="15.75" customHeight="1">
      <c r="A679" s="90"/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</row>
    <row r="680" spans="1:26" ht="15.75" customHeight="1">
      <c r="A680" s="90"/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</row>
    <row r="681" spans="1:26" ht="15.75" customHeight="1">
      <c r="A681" s="90"/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</row>
    <row r="682" spans="1:26" ht="15.75" customHeight="1">
      <c r="A682" s="90"/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</row>
    <row r="683" spans="1:26" ht="15.75" customHeight="1">
      <c r="A683" s="90"/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</row>
    <row r="684" spans="1:26" ht="15.75" customHeight="1">
      <c r="A684" s="90"/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</row>
    <row r="685" spans="1:26" ht="15.75" customHeight="1">
      <c r="A685" s="90"/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</row>
    <row r="686" spans="1:26" ht="15.75" customHeight="1">
      <c r="A686" s="90"/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</row>
    <row r="687" spans="1:26" ht="15.75" customHeight="1">
      <c r="A687" s="90"/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</row>
    <row r="688" spans="1:26" ht="15.75" customHeight="1">
      <c r="A688" s="90"/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</row>
    <row r="689" spans="1:26" ht="15.75" customHeight="1">
      <c r="A689" s="90"/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</row>
    <row r="690" spans="1:26" ht="15.75" customHeight="1">
      <c r="A690" s="90"/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</row>
    <row r="691" spans="1:26" ht="15.75" customHeight="1">
      <c r="A691" s="90"/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</row>
    <row r="692" spans="1:26" ht="15.75" customHeight="1">
      <c r="A692" s="90"/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</row>
    <row r="693" spans="1:26" ht="15.75" customHeight="1">
      <c r="A693" s="90"/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</row>
    <row r="694" spans="1:26" ht="15.75" customHeight="1">
      <c r="A694" s="90"/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</row>
    <row r="695" spans="1:26" ht="15.75" customHeight="1">
      <c r="A695" s="90"/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</row>
    <row r="696" spans="1:26" ht="15.75" customHeight="1">
      <c r="A696" s="90"/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</row>
    <row r="697" spans="1:26" ht="15.75" customHeight="1">
      <c r="A697" s="90"/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</row>
    <row r="698" spans="1:26" ht="15.75" customHeight="1">
      <c r="A698" s="90"/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</row>
    <row r="699" spans="1:26" ht="15.75" customHeight="1">
      <c r="A699" s="90"/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</row>
    <row r="700" spans="1:26" ht="15.75" customHeight="1">
      <c r="A700" s="90"/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</row>
    <row r="701" spans="1:26" ht="15.75" customHeight="1">
      <c r="A701" s="90"/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</row>
    <row r="702" spans="1:26" ht="15.75" customHeight="1">
      <c r="A702" s="90"/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</row>
    <row r="703" spans="1:26" ht="15.75" customHeight="1">
      <c r="A703" s="90"/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</row>
    <row r="704" spans="1:26" ht="15.75" customHeight="1">
      <c r="A704" s="90"/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</row>
    <row r="705" spans="1:26" ht="15.75" customHeight="1">
      <c r="A705" s="90"/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</row>
    <row r="706" spans="1:26" ht="15.75" customHeight="1">
      <c r="A706" s="90"/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</row>
    <row r="707" spans="1:26" ht="15.75" customHeight="1">
      <c r="A707" s="90"/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</row>
    <row r="708" spans="1:26" ht="15.75" customHeight="1">
      <c r="A708" s="90"/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</row>
    <row r="709" spans="1:26" ht="15.75" customHeight="1">
      <c r="A709" s="90"/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</row>
    <row r="710" spans="1:26" ht="15.75" customHeight="1">
      <c r="A710" s="90"/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</row>
    <row r="711" spans="1:26" ht="15.75" customHeight="1">
      <c r="A711" s="90"/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</row>
    <row r="712" spans="1:26" ht="15.75" customHeight="1">
      <c r="A712" s="90"/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</row>
    <row r="713" spans="1:26" ht="15.75" customHeight="1">
      <c r="A713" s="90"/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</row>
    <row r="714" spans="1:26" ht="15.75" customHeight="1">
      <c r="A714" s="90"/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</row>
    <row r="715" spans="1:26" ht="15.75" customHeight="1">
      <c r="A715" s="90"/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</row>
    <row r="716" spans="1:26" ht="15.75" customHeight="1">
      <c r="A716" s="90"/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</row>
    <row r="717" spans="1:26" ht="15.75" customHeight="1">
      <c r="A717" s="90"/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</row>
    <row r="718" spans="1:26" ht="15.75" customHeight="1">
      <c r="A718" s="90"/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</row>
    <row r="719" spans="1:26" ht="15.75" customHeight="1">
      <c r="A719" s="90"/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</row>
    <row r="720" spans="1:26" ht="15.75" customHeight="1">
      <c r="A720" s="90"/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</row>
    <row r="721" spans="1:26" ht="15.75" customHeight="1">
      <c r="A721" s="90"/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</row>
    <row r="722" spans="1:26" ht="15.75" customHeight="1">
      <c r="A722" s="90"/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</row>
    <row r="723" spans="1:26" ht="15.75" customHeight="1">
      <c r="A723" s="90"/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</row>
    <row r="724" spans="1:26" ht="15.75" customHeight="1">
      <c r="A724" s="90"/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</row>
    <row r="725" spans="1:26" ht="15.75" customHeight="1">
      <c r="A725" s="90"/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</row>
    <row r="726" spans="1:26" ht="15.75" customHeight="1">
      <c r="A726" s="90"/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</row>
    <row r="727" spans="1:26" ht="15.75" customHeight="1">
      <c r="A727" s="90"/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</row>
    <row r="728" spans="1:26" ht="15.75" customHeight="1">
      <c r="A728" s="90"/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</row>
    <row r="729" spans="1:26" ht="15.75" customHeight="1">
      <c r="A729" s="90"/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</row>
    <row r="730" spans="1:26" ht="15.75" customHeight="1">
      <c r="A730" s="90"/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</row>
    <row r="731" spans="1:26" ht="15.75" customHeight="1">
      <c r="A731" s="90"/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</row>
    <row r="732" spans="1:26" ht="15.75" customHeight="1">
      <c r="A732" s="90"/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</row>
    <row r="733" spans="1:26" ht="15.75" customHeight="1">
      <c r="A733" s="90"/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</row>
    <row r="734" spans="1:26" ht="15.75" customHeight="1">
      <c r="A734" s="90"/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</row>
    <row r="735" spans="1:26" ht="15.75" customHeight="1">
      <c r="A735" s="90"/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</row>
    <row r="736" spans="1:26" ht="15.75" customHeight="1">
      <c r="A736" s="90"/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</row>
    <row r="737" spans="1:26" ht="15.75" customHeight="1">
      <c r="A737" s="90"/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</row>
    <row r="738" spans="1:26" ht="15.75" customHeight="1">
      <c r="A738" s="90"/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</row>
    <row r="739" spans="1:26" ht="15.75" customHeight="1">
      <c r="A739" s="90"/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</row>
    <row r="740" spans="1:26" ht="15.75" customHeight="1">
      <c r="A740" s="90"/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</row>
    <row r="741" spans="1:26" ht="15.75" customHeight="1">
      <c r="A741" s="90"/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</row>
    <row r="742" spans="1:26" ht="15.75" customHeight="1">
      <c r="A742" s="90"/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</row>
    <row r="743" spans="1:26" ht="15.75" customHeight="1">
      <c r="A743" s="90"/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</row>
    <row r="744" spans="1:26" ht="15.75" customHeight="1">
      <c r="A744" s="90"/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</row>
    <row r="745" spans="1:26" ht="15.75" customHeight="1">
      <c r="A745" s="90"/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</row>
    <row r="746" spans="1:26" ht="15.75" customHeight="1">
      <c r="A746" s="90"/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</row>
    <row r="747" spans="1:26" ht="15.75" customHeight="1">
      <c r="A747" s="90"/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</row>
    <row r="748" spans="1:26" ht="15.75" customHeight="1">
      <c r="A748" s="90"/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</row>
    <row r="749" spans="1:26" ht="15.75" customHeight="1">
      <c r="A749" s="90"/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</row>
    <row r="750" spans="1:26" ht="15.75" customHeight="1">
      <c r="A750" s="90"/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</row>
    <row r="751" spans="1:26" ht="15.75" customHeight="1">
      <c r="A751" s="90"/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</row>
    <row r="752" spans="1:26" ht="15.75" customHeight="1">
      <c r="A752" s="90"/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</row>
    <row r="753" spans="1:26" ht="15.75" customHeight="1">
      <c r="A753" s="90"/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</row>
    <row r="754" spans="1:26" ht="15.75" customHeight="1">
      <c r="A754" s="90"/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</row>
    <row r="755" spans="1:26" ht="15.75" customHeight="1">
      <c r="A755" s="90"/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</row>
    <row r="756" spans="1:26" ht="15.75" customHeight="1">
      <c r="A756" s="90"/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</row>
    <row r="757" spans="1:26" ht="15.75" customHeight="1">
      <c r="A757" s="90"/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</row>
    <row r="758" spans="1:26" ht="15.75" customHeight="1">
      <c r="A758" s="90"/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</row>
    <row r="759" spans="1:26" ht="15.75" customHeight="1">
      <c r="A759" s="90"/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</row>
    <row r="760" spans="1:26" ht="15.75" customHeight="1">
      <c r="A760" s="90"/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</row>
    <row r="761" spans="1:26" ht="15.75" customHeight="1">
      <c r="A761" s="90"/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</row>
    <row r="762" spans="1:26" ht="15.75" customHeight="1">
      <c r="A762" s="90"/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</row>
    <row r="763" spans="1:26" ht="15.75" customHeight="1">
      <c r="A763" s="90"/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</row>
    <row r="764" spans="1:26" ht="15.75" customHeight="1">
      <c r="A764" s="90"/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</row>
    <row r="765" spans="1:26" ht="15.75" customHeight="1">
      <c r="A765" s="90"/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</row>
    <row r="766" spans="1:26" ht="15.75" customHeight="1">
      <c r="A766" s="90"/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</row>
    <row r="767" spans="1:26" ht="15.75" customHeight="1">
      <c r="A767" s="90"/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</row>
    <row r="768" spans="1:26" ht="15.75" customHeight="1">
      <c r="A768" s="90"/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</row>
    <row r="769" spans="1:26" ht="15.75" customHeight="1">
      <c r="A769" s="90"/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</row>
    <row r="770" spans="1:26" ht="15.75" customHeight="1">
      <c r="A770" s="90"/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</row>
    <row r="771" spans="1:26" ht="15.75" customHeight="1">
      <c r="A771" s="90"/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</row>
    <row r="772" spans="1:26" ht="15.75" customHeight="1">
      <c r="A772" s="90"/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</row>
    <row r="773" spans="1:26" ht="15.75" customHeight="1">
      <c r="A773" s="90"/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</row>
    <row r="774" spans="1:26" ht="15.75" customHeight="1">
      <c r="A774" s="90"/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</row>
    <row r="775" spans="1:26" ht="15.75" customHeight="1">
      <c r="A775" s="90"/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</row>
    <row r="776" spans="1:26" ht="15.75" customHeight="1">
      <c r="A776" s="90"/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</row>
    <row r="777" spans="1:26" ht="15.75" customHeight="1">
      <c r="A777" s="90"/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</row>
    <row r="778" spans="1:26" ht="15.75" customHeight="1">
      <c r="A778" s="90"/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</row>
    <row r="779" spans="1:26" ht="15.75" customHeight="1">
      <c r="A779" s="90"/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</row>
    <row r="780" spans="1:26" ht="15.75" customHeight="1">
      <c r="A780" s="90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</row>
    <row r="781" spans="1:26" ht="15.75" customHeight="1">
      <c r="A781" s="90"/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</row>
    <row r="782" spans="1:26" ht="15.75" customHeight="1">
      <c r="A782" s="90"/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</row>
    <row r="783" spans="1:26" ht="15.75" customHeight="1">
      <c r="A783" s="90"/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</row>
    <row r="784" spans="1:26" ht="15.75" customHeight="1">
      <c r="A784" s="90"/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</row>
    <row r="785" spans="1:26" ht="15.75" customHeight="1">
      <c r="A785" s="90"/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</row>
    <row r="786" spans="1:26" ht="15.75" customHeight="1">
      <c r="A786" s="90"/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</row>
    <row r="787" spans="1:26" ht="15.75" customHeight="1">
      <c r="A787" s="90"/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</row>
    <row r="788" spans="1:26" ht="15.75" customHeight="1">
      <c r="A788" s="90"/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</row>
    <row r="789" spans="1:26" ht="15.75" customHeight="1">
      <c r="A789" s="90"/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</row>
    <row r="790" spans="1:26" ht="15.75" customHeight="1">
      <c r="A790" s="90"/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</row>
    <row r="791" spans="1:26" ht="15.75" customHeight="1">
      <c r="A791" s="90"/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</row>
    <row r="792" spans="1:26" ht="15.75" customHeight="1">
      <c r="A792" s="90"/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</row>
    <row r="793" spans="1:26" ht="15.75" customHeight="1">
      <c r="A793" s="90"/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</row>
    <row r="794" spans="1:26" ht="15.75" customHeight="1">
      <c r="A794" s="90"/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</row>
    <row r="795" spans="1:26" ht="15.75" customHeight="1">
      <c r="A795" s="90"/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</row>
    <row r="796" spans="1:26" ht="15.75" customHeight="1">
      <c r="A796" s="90"/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</row>
    <row r="797" spans="1:26" ht="15.75" customHeight="1">
      <c r="A797" s="90"/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</row>
    <row r="798" spans="1:26" ht="15.75" customHeight="1">
      <c r="A798" s="90"/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</row>
    <row r="799" spans="1:26" ht="15.75" customHeight="1">
      <c r="A799" s="90"/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</row>
    <row r="800" spans="1:26" ht="15.75" customHeight="1">
      <c r="A800" s="90"/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</row>
    <row r="801" spans="1:26" ht="15.75" customHeight="1">
      <c r="A801" s="90"/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</row>
    <row r="802" spans="1:26" ht="15.75" customHeight="1">
      <c r="A802" s="90"/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</row>
    <row r="803" spans="1:26" ht="15.75" customHeight="1">
      <c r="A803" s="90"/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</row>
    <row r="804" spans="1:26" ht="15.75" customHeight="1">
      <c r="A804" s="90"/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</row>
    <row r="805" spans="1:26" ht="15.75" customHeight="1">
      <c r="A805" s="90"/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</row>
    <row r="806" spans="1:26" ht="15.75" customHeight="1">
      <c r="A806" s="90"/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</row>
    <row r="807" spans="1:26" ht="15.75" customHeight="1">
      <c r="A807" s="90"/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</row>
    <row r="808" spans="1:26" ht="15.75" customHeight="1">
      <c r="A808" s="90"/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</row>
    <row r="809" spans="1:26" ht="15.75" customHeight="1">
      <c r="A809" s="90"/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</row>
    <row r="810" spans="1:26" ht="15.75" customHeight="1">
      <c r="A810" s="90"/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</row>
    <row r="811" spans="1:26" ht="15.75" customHeight="1">
      <c r="A811" s="90"/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</row>
    <row r="812" spans="1:26" ht="15.75" customHeight="1">
      <c r="A812" s="90"/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</row>
    <row r="813" spans="1:26" ht="15.75" customHeight="1">
      <c r="A813" s="90"/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</row>
    <row r="814" spans="1:26" ht="15.75" customHeight="1">
      <c r="A814" s="90"/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</row>
    <row r="815" spans="1:26" ht="15.75" customHeight="1">
      <c r="A815" s="90"/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</row>
    <row r="816" spans="1:26" ht="15.75" customHeight="1">
      <c r="A816" s="90"/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</row>
    <row r="817" spans="1:26" ht="15.75" customHeight="1">
      <c r="A817" s="90"/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</row>
    <row r="818" spans="1:26" ht="15.75" customHeight="1">
      <c r="A818" s="90"/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</row>
    <row r="819" spans="1:26" ht="15.75" customHeight="1">
      <c r="A819" s="90"/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</row>
    <row r="820" spans="1:26" ht="15.75" customHeight="1">
      <c r="A820" s="90"/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</row>
    <row r="821" spans="1:26" ht="15.75" customHeight="1">
      <c r="A821" s="90"/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</row>
    <row r="822" spans="1:26" ht="15.75" customHeight="1">
      <c r="A822" s="90"/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</row>
    <row r="823" spans="1:26" ht="15.75" customHeight="1">
      <c r="A823" s="90"/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</row>
    <row r="824" spans="1:26" ht="15.75" customHeight="1">
      <c r="A824" s="90"/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</row>
    <row r="825" spans="1:26" ht="15.75" customHeight="1">
      <c r="A825" s="90"/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</row>
    <row r="826" spans="1:26" ht="15.75" customHeight="1">
      <c r="A826" s="90"/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</row>
    <row r="827" spans="1:26" ht="15.75" customHeight="1">
      <c r="A827" s="90"/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</row>
    <row r="828" spans="1:26" ht="15.75" customHeight="1">
      <c r="A828" s="90"/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</row>
    <row r="829" spans="1:26" ht="15.75" customHeight="1">
      <c r="A829" s="90"/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</row>
    <row r="830" spans="1:26" ht="15.75" customHeight="1">
      <c r="A830" s="90"/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</row>
    <row r="831" spans="1:26" ht="15.75" customHeight="1">
      <c r="A831" s="90"/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</row>
    <row r="832" spans="1:26" ht="15.75" customHeight="1">
      <c r="A832" s="90"/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</row>
    <row r="833" spans="1:26" ht="15.75" customHeight="1">
      <c r="A833" s="90"/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</row>
    <row r="834" spans="1:26" ht="15.75" customHeight="1">
      <c r="A834" s="90"/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</row>
    <row r="835" spans="1:26" ht="15.75" customHeight="1">
      <c r="A835" s="90"/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</row>
    <row r="836" spans="1:26" ht="15.75" customHeight="1">
      <c r="A836" s="90"/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</row>
    <row r="837" spans="1:26" ht="15.75" customHeight="1">
      <c r="A837" s="90"/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</row>
    <row r="838" spans="1:26" ht="15.75" customHeight="1">
      <c r="A838" s="90"/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</row>
    <row r="839" spans="1:26" ht="15.75" customHeight="1">
      <c r="A839" s="90"/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</row>
    <row r="840" spans="1:26" ht="15.75" customHeight="1">
      <c r="A840" s="90"/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</row>
    <row r="841" spans="1:26" ht="15.75" customHeight="1">
      <c r="A841" s="90"/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</row>
    <row r="842" spans="1:26" ht="15.75" customHeight="1">
      <c r="A842" s="90"/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</row>
    <row r="843" spans="1:26" ht="15.75" customHeight="1">
      <c r="A843" s="90"/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</row>
    <row r="844" spans="1:26" ht="15.75" customHeight="1">
      <c r="A844" s="90"/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</row>
    <row r="845" spans="1:26" ht="15.75" customHeight="1">
      <c r="A845" s="90"/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</row>
    <row r="846" spans="1:26" ht="15.75" customHeight="1">
      <c r="A846" s="90"/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</row>
    <row r="847" spans="1:26" ht="15.75" customHeight="1">
      <c r="A847" s="90"/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</row>
    <row r="848" spans="1:26" ht="15.75" customHeight="1">
      <c r="A848" s="90"/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</row>
    <row r="849" spans="1:26" ht="15.75" customHeight="1">
      <c r="A849" s="90"/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</row>
    <row r="850" spans="1:26" ht="15.75" customHeight="1">
      <c r="A850" s="90"/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</row>
    <row r="851" spans="1:26" ht="15.75" customHeight="1">
      <c r="A851" s="90"/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</row>
    <row r="852" spans="1:26" ht="15.75" customHeight="1">
      <c r="A852" s="90"/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</row>
    <row r="853" spans="1:26" ht="15.75" customHeight="1">
      <c r="A853" s="90"/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</row>
    <row r="854" spans="1:26" ht="15.75" customHeight="1">
      <c r="A854" s="90"/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</row>
    <row r="855" spans="1:26" ht="15.75" customHeight="1">
      <c r="A855" s="90"/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</row>
    <row r="856" spans="1:26" ht="15.75" customHeight="1">
      <c r="A856" s="90"/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</row>
    <row r="857" spans="1:26" ht="15.75" customHeight="1">
      <c r="A857" s="90"/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</row>
    <row r="858" spans="1:26" ht="15.75" customHeight="1">
      <c r="A858" s="90"/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</row>
    <row r="859" spans="1:26" ht="15.75" customHeight="1">
      <c r="A859" s="90"/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</row>
    <row r="860" spans="1:26" ht="15.75" customHeight="1">
      <c r="A860" s="90"/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</row>
    <row r="861" spans="1:26" ht="15.75" customHeight="1">
      <c r="A861" s="90"/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</row>
    <row r="862" spans="1:26" ht="15.75" customHeight="1">
      <c r="A862" s="90"/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</row>
    <row r="863" spans="1:26" ht="15.75" customHeight="1">
      <c r="A863" s="90"/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</row>
    <row r="864" spans="1:26" ht="15.75" customHeight="1">
      <c r="A864" s="90"/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</row>
    <row r="865" spans="1:26" ht="15.75" customHeight="1">
      <c r="A865" s="90"/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</row>
    <row r="866" spans="1:26" ht="15.75" customHeight="1">
      <c r="A866" s="90"/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</row>
    <row r="867" spans="1:26" ht="15.75" customHeight="1">
      <c r="A867" s="90"/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</row>
    <row r="868" spans="1:26" ht="15.75" customHeight="1">
      <c r="A868" s="90"/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</row>
    <row r="869" spans="1:26" ht="15.75" customHeight="1">
      <c r="A869" s="90"/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</row>
    <row r="870" spans="1:26" ht="15.75" customHeight="1">
      <c r="A870" s="90"/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</row>
    <row r="871" spans="1:26" ht="15.75" customHeight="1">
      <c r="A871" s="90"/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</row>
    <row r="872" spans="1:26" ht="15.75" customHeight="1">
      <c r="A872" s="90"/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</row>
    <row r="873" spans="1:26" ht="15.75" customHeight="1">
      <c r="A873" s="90"/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</row>
    <row r="874" spans="1:26" ht="15.75" customHeight="1">
      <c r="A874" s="90"/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</row>
    <row r="875" spans="1:26" ht="15.75" customHeight="1">
      <c r="A875" s="90"/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</row>
    <row r="876" spans="1:26" ht="15.75" customHeight="1">
      <c r="A876" s="90"/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</row>
    <row r="877" spans="1:26" ht="15.75" customHeight="1">
      <c r="A877" s="90"/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</row>
    <row r="878" spans="1:26" ht="15.75" customHeight="1">
      <c r="A878" s="90"/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</row>
    <row r="879" spans="1:26" ht="15.75" customHeight="1">
      <c r="A879" s="90"/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</row>
    <row r="880" spans="1:26" ht="15.75" customHeight="1">
      <c r="A880" s="90"/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</row>
    <row r="881" spans="1:26" ht="15.75" customHeight="1">
      <c r="A881" s="90"/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</row>
    <row r="882" spans="1:26" ht="15.75" customHeight="1">
      <c r="A882" s="90"/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</row>
    <row r="883" spans="1:26" ht="15.75" customHeight="1">
      <c r="A883" s="90"/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</row>
    <row r="884" spans="1:26" ht="15.75" customHeight="1">
      <c r="A884" s="90"/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</row>
    <row r="885" spans="1:26" ht="15.75" customHeight="1">
      <c r="A885" s="90"/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</row>
    <row r="886" spans="1:26" ht="15.75" customHeight="1">
      <c r="A886" s="90"/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</row>
    <row r="887" spans="1:26" ht="15.75" customHeight="1">
      <c r="A887" s="90"/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</row>
    <row r="888" spans="1:26" ht="15.75" customHeight="1">
      <c r="A888" s="90"/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</row>
    <row r="889" spans="1:26" ht="15.75" customHeight="1">
      <c r="A889" s="90"/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</row>
    <row r="890" spans="1:26" ht="15.75" customHeight="1">
      <c r="A890" s="90"/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</row>
    <row r="891" spans="1:26" ht="15.75" customHeight="1">
      <c r="A891" s="90"/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</row>
    <row r="892" spans="1:26" ht="15.75" customHeight="1">
      <c r="A892" s="90"/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</row>
    <row r="893" spans="1:26" ht="15.75" customHeight="1">
      <c r="A893" s="90"/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</row>
    <row r="894" spans="1:26" ht="15.75" customHeight="1">
      <c r="A894" s="90"/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</row>
    <row r="895" spans="1:26" ht="15.75" customHeight="1">
      <c r="A895" s="90"/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</row>
    <row r="896" spans="1:26" ht="15.75" customHeight="1">
      <c r="A896" s="90"/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</row>
    <row r="897" spans="1:26" ht="15.75" customHeight="1">
      <c r="A897" s="90"/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</row>
    <row r="898" spans="1:26" ht="15.75" customHeight="1">
      <c r="A898" s="90"/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</row>
    <row r="899" spans="1:26" ht="15.75" customHeight="1">
      <c r="A899" s="90"/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</row>
    <row r="900" spans="1:26" ht="15.75" customHeight="1">
      <c r="A900" s="90"/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</row>
    <row r="901" spans="1:26" ht="15.75" customHeight="1">
      <c r="A901" s="90"/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</row>
    <row r="902" spans="1:26" ht="15.75" customHeight="1">
      <c r="A902" s="90"/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</row>
    <row r="903" spans="1:26" ht="15.75" customHeight="1">
      <c r="A903" s="90"/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</row>
    <row r="904" spans="1:26" ht="15.75" customHeight="1">
      <c r="A904" s="90"/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</row>
    <row r="905" spans="1:26" ht="15.75" customHeight="1">
      <c r="A905" s="90"/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</row>
    <row r="906" spans="1:26" ht="15.75" customHeight="1">
      <c r="A906" s="90"/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</row>
    <row r="907" spans="1:26" ht="15.75" customHeight="1">
      <c r="A907" s="90"/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</row>
    <row r="908" spans="1:26" ht="15.75" customHeight="1">
      <c r="A908" s="90"/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</row>
    <row r="909" spans="1:26" ht="15.75" customHeight="1">
      <c r="A909" s="90"/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</row>
    <row r="910" spans="1:26" ht="15.75" customHeight="1">
      <c r="A910" s="90"/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</row>
    <row r="911" spans="1:26" ht="15.75" customHeight="1">
      <c r="A911" s="90"/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</row>
    <row r="912" spans="1:26" ht="15.75" customHeight="1">
      <c r="A912" s="90"/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</row>
    <row r="913" spans="1:26" ht="15.75" customHeight="1">
      <c r="A913" s="90"/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</row>
    <row r="914" spans="1:26" ht="15.75" customHeight="1">
      <c r="A914" s="90"/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</row>
    <row r="915" spans="1:26" ht="15.75" customHeight="1">
      <c r="A915" s="90"/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</row>
    <row r="916" spans="1:26" ht="15.75" customHeight="1">
      <c r="A916" s="90"/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</row>
    <row r="917" spans="1:26" ht="15.75" customHeight="1">
      <c r="A917" s="90"/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</row>
    <row r="918" spans="1:26" ht="15.75" customHeight="1">
      <c r="A918" s="90"/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</row>
    <row r="919" spans="1:26" ht="15.75" customHeight="1">
      <c r="A919" s="90"/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</row>
    <row r="920" spans="1:26" ht="15.75" customHeight="1">
      <c r="A920" s="90"/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</row>
    <row r="921" spans="1:26" ht="15.75" customHeight="1">
      <c r="A921" s="90"/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</row>
    <row r="922" spans="1:26" ht="15.75" customHeight="1">
      <c r="A922" s="90"/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</row>
    <row r="923" spans="1:26" ht="15.75" customHeight="1">
      <c r="A923" s="90"/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</row>
    <row r="924" spans="1:26" ht="15.75" customHeight="1">
      <c r="A924" s="90"/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</row>
    <row r="925" spans="1:26" ht="15.75" customHeight="1">
      <c r="A925" s="90"/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</row>
    <row r="926" spans="1:26" ht="15.75" customHeight="1">
      <c r="A926" s="90"/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</row>
    <row r="927" spans="1:26" ht="15.75" customHeight="1">
      <c r="A927" s="90"/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</row>
    <row r="928" spans="1:26" ht="15.75" customHeight="1">
      <c r="A928" s="90"/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</row>
    <row r="929" spans="1:26" ht="15.75" customHeight="1">
      <c r="A929" s="90"/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</row>
    <row r="930" spans="1:26" ht="15.75" customHeight="1">
      <c r="A930" s="90"/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</row>
    <row r="931" spans="1:26" ht="15.75" customHeight="1">
      <c r="A931" s="90"/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</row>
    <row r="932" spans="1:26" ht="15.75" customHeight="1">
      <c r="A932" s="90"/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</row>
    <row r="933" spans="1:26" ht="15.75" customHeight="1">
      <c r="A933" s="90"/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</row>
    <row r="934" spans="1:26" ht="15.75" customHeight="1">
      <c r="A934" s="90"/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</row>
    <row r="935" spans="1:26" ht="15.75" customHeight="1">
      <c r="A935" s="90"/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</row>
    <row r="936" spans="1:26" ht="15.75" customHeight="1">
      <c r="A936" s="90"/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</row>
    <row r="937" spans="1:26" ht="15.75" customHeight="1">
      <c r="A937" s="90"/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</row>
    <row r="938" spans="1:26" ht="15.75" customHeight="1">
      <c r="A938" s="90"/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</row>
    <row r="939" spans="1:26" ht="15.75" customHeight="1">
      <c r="A939" s="90"/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</row>
    <row r="940" spans="1:26" ht="15.75" customHeight="1">
      <c r="A940" s="90"/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</row>
    <row r="941" spans="1:26" ht="15.75" customHeight="1">
      <c r="A941" s="90"/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</row>
    <row r="942" spans="1:26" ht="15.75" customHeight="1">
      <c r="A942" s="90"/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</row>
    <row r="943" spans="1:26" ht="15.75" customHeight="1">
      <c r="A943" s="90"/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</row>
    <row r="944" spans="1:26" ht="15.75" customHeight="1">
      <c r="A944" s="90"/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</row>
    <row r="945" spans="1:26" ht="15.75" customHeight="1">
      <c r="A945" s="90"/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</row>
    <row r="946" spans="1:26" ht="15.75" customHeight="1">
      <c r="A946" s="90"/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</row>
    <row r="947" spans="1:26" ht="15.75" customHeight="1">
      <c r="A947" s="90"/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</row>
    <row r="948" spans="1:26" ht="15.75" customHeight="1">
      <c r="A948" s="90"/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</row>
    <row r="949" spans="1:26" ht="15.75" customHeight="1">
      <c r="A949" s="90"/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</row>
    <row r="950" spans="1:26" ht="15.75" customHeight="1">
      <c r="A950" s="90"/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</row>
    <row r="951" spans="1:26" ht="15.75" customHeight="1">
      <c r="A951" s="90"/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</row>
    <row r="952" spans="1:26" ht="15.75" customHeight="1">
      <c r="A952" s="90"/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</row>
    <row r="953" spans="1:26" ht="15.75" customHeight="1">
      <c r="A953" s="90"/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</row>
    <row r="954" spans="1:26" ht="15.75" customHeight="1">
      <c r="A954" s="90"/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</row>
    <row r="955" spans="1:26" ht="15.75" customHeight="1">
      <c r="A955" s="90"/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</row>
    <row r="956" spans="1:26" ht="15.75" customHeight="1">
      <c r="A956" s="90"/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</row>
    <row r="957" spans="1:26" ht="15.75" customHeight="1">
      <c r="A957" s="90"/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</row>
    <row r="958" spans="1:26" ht="15.75" customHeight="1">
      <c r="A958" s="90"/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</row>
    <row r="959" spans="1:26" ht="15.75" customHeight="1">
      <c r="A959" s="90"/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</row>
    <row r="960" spans="1:26" ht="15.75" customHeight="1">
      <c r="A960" s="90"/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</row>
    <row r="961" spans="1:26" ht="15.75" customHeight="1">
      <c r="A961" s="90"/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</row>
    <row r="962" spans="1:26" ht="15.75" customHeight="1">
      <c r="A962" s="90"/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</row>
    <row r="963" spans="1:26" ht="15.75" customHeight="1">
      <c r="A963" s="90"/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</row>
    <row r="964" spans="1:26" ht="15.75" customHeight="1">
      <c r="A964" s="90"/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</row>
    <row r="965" spans="1:26" ht="15.75" customHeight="1">
      <c r="A965" s="90"/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</row>
    <row r="966" spans="1:26" ht="15.75" customHeight="1">
      <c r="A966" s="90"/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</row>
    <row r="967" spans="1:26" ht="15.75" customHeight="1">
      <c r="A967" s="90"/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</row>
    <row r="968" spans="1:26" ht="15.75" customHeight="1">
      <c r="A968" s="90"/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</row>
    <row r="969" spans="1:26" ht="15.75" customHeight="1">
      <c r="A969" s="90"/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</row>
    <row r="970" spans="1:26" ht="15.75" customHeight="1">
      <c r="A970" s="90"/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</row>
    <row r="971" spans="1:26" ht="15.75" customHeight="1">
      <c r="A971" s="90"/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</row>
    <row r="972" spans="1:26" ht="15.75" customHeight="1">
      <c r="A972" s="90"/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</row>
    <row r="973" spans="1:26" ht="15.75" customHeight="1">
      <c r="A973" s="90"/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</row>
    <row r="974" spans="1:26" ht="15.75" customHeight="1">
      <c r="A974" s="90"/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</row>
    <row r="975" spans="1:26" ht="15.75" customHeight="1">
      <c r="A975" s="90"/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</row>
    <row r="976" spans="1:26" ht="15.75" customHeight="1">
      <c r="A976" s="90"/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</row>
    <row r="977" spans="1:26" ht="15.75" customHeight="1">
      <c r="A977" s="90"/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</row>
    <row r="978" spans="1:26" ht="15.75" customHeight="1">
      <c r="A978" s="90"/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</row>
    <row r="979" spans="1:26" ht="15.75" customHeight="1">
      <c r="A979" s="90"/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</row>
    <row r="980" spans="1:26" ht="15.75" customHeight="1">
      <c r="A980" s="90"/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</row>
    <row r="981" spans="1:26" ht="15.75" customHeight="1">
      <c r="A981" s="90"/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</row>
    <row r="982" spans="1:26" ht="15.75" customHeight="1">
      <c r="A982" s="90"/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</row>
    <row r="983" spans="1:26" ht="15.75" customHeight="1">
      <c r="A983" s="90"/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</row>
    <row r="984" spans="1:26" ht="15.75" customHeight="1">
      <c r="A984" s="90"/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</row>
    <row r="985" spans="1:26" ht="15.75" customHeight="1">
      <c r="A985" s="90"/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</row>
    <row r="986" spans="1:26" ht="15.75" customHeight="1">
      <c r="A986" s="90"/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</row>
    <row r="987" spans="1:26" ht="15.75" customHeight="1">
      <c r="A987" s="90"/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</row>
    <row r="988" spans="1:26" ht="15.75" customHeight="1">
      <c r="A988" s="90"/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</row>
    <row r="989" spans="1:26" ht="15.75" customHeight="1">
      <c r="A989" s="90"/>
      <c r="B989" s="90"/>
      <c r="C989" s="90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  <c r="W989" s="90"/>
      <c r="X989" s="90"/>
      <c r="Y989" s="90"/>
      <c r="Z989" s="90"/>
    </row>
    <row r="990" spans="1:26" ht="15.75" customHeight="1">
      <c r="A990" s="90"/>
      <c r="B990" s="90"/>
      <c r="C990" s="90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  <c r="W990" s="90"/>
      <c r="X990" s="90"/>
      <c r="Y990" s="90"/>
      <c r="Z990" s="90"/>
    </row>
    <row r="991" spans="1:26" ht="15.75" customHeight="1">
      <c r="A991" s="90"/>
      <c r="B991" s="90"/>
      <c r="C991" s="90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  <c r="W991" s="90"/>
      <c r="X991" s="90"/>
      <c r="Y991" s="90"/>
      <c r="Z991" s="90"/>
    </row>
    <row r="992" spans="1:26" ht="15.75" customHeight="1">
      <c r="A992" s="90"/>
      <c r="B992" s="90"/>
      <c r="C992" s="90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  <c r="W992" s="90"/>
      <c r="X992" s="90"/>
      <c r="Y992" s="90"/>
      <c r="Z992" s="90"/>
    </row>
    <row r="993" spans="1:26" ht="15.75" customHeight="1">
      <c r="A993" s="90"/>
      <c r="B993" s="90"/>
      <c r="C993" s="90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  <c r="W993" s="90"/>
      <c r="X993" s="90"/>
      <c r="Y993" s="90"/>
      <c r="Z993" s="90"/>
    </row>
    <row r="994" spans="1:26" ht="15.75" customHeight="1">
      <c r="A994" s="90"/>
      <c r="B994" s="90"/>
      <c r="C994" s="90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  <c r="W994" s="90"/>
      <c r="X994" s="90"/>
      <c r="Y994" s="90"/>
      <c r="Z994" s="90"/>
    </row>
  </sheetData>
  <mergeCells count="99">
    <mergeCell ref="A1:B2"/>
    <mergeCell ref="C1:G2"/>
    <mergeCell ref="I1:J1"/>
    <mergeCell ref="I2:J2"/>
    <mergeCell ref="A3:D3"/>
    <mergeCell ref="E3:G3"/>
    <mergeCell ref="H3:J3"/>
    <mergeCell ref="B4:C4"/>
    <mergeCell ref="F4:G4"/>
    <mergeCell ref="A5:B5"/>
    <mergeCell ref="C5:E5"/>
    <mergeCell ref="F5:G6"/>
    <mergeCell ref="I5:I6"/>
    <mergeCell ref="J5:J6"/>
    <mergeCell ref="A7:B7"/>
    <mergeCell ref="C7:E7"/>
    <mergeCell ref="F7:H7"/>
    <mergeCell ref="I7:J7"/>
    <mergeCell ref="H5:H6"/>
    <mergeCell ref="J8:J9"/>
    <mergeCell ref="A10:A12"/>
    <mergeCell ref="B10:B12"/>
    <mergeCell ref="C10:C12"/>
    <mergeCell ref="D10:D12"/>
    <mergeCell ref="E10:E12"/>
    <mergeCell ref="H10:H12"/>
    <mergeCell ref="I10:I12"/>
    <mergeCell ref="J10:J12"/>
    <mergeCell ref="F11:G11"/>
    <mergeCell ref="A8:A9"/>
    <mergeCell ref="B8:B9"/>
    <mergeCell ref="C8:E8"/>
    <mergeCell ref="F8:G9"/>
    <mergeCell ref="H8:H9"/>
    <mergeCell ref="I8:I9"/>
    <mergeCell ref="B22:B24"/>
    <mergeCell ref="C22:C24"/>
    <mergeCell ref="D22:D24"/>
    <mergeCell ref="L11:L13"/>
    <mergeCell ref="A13:A15"/>
    <mergeCell ref="B13:B15"/>
    <mergeCell ref="C13:C15"/>
    <mergeCell ref="D13:D15"/>
    <mergeCell ref="E13:E15"/>
    <mergeCell ref="H13:H15"/>
    <mergeCell ref="I13:I15"/>
    <mergeCell ref="J13:J15"/>
    <mergeCell ref="F14:G14"/>
    <mergeCell ref="I16:I18"/>
    <mergeCell ref="J16:J18"/>
    <mergeCell ref="F17:G17"/>
    <mergeCell ref="B19:B21"/>
    <mergeCell ref="C19:C21"/>
    <mergeCell ref="D19:D21"/>
    <mergeCell ref="E19:E21"/>
    <mergeCell ref="H19:H21"/>
    <mergeCell ref="I19:I21"/>
    <mergeCell ref="J19:J21"/>
    <mergeCell ref="B16:B18"/>
    <mergeCell ref="C16:C18"/>
    <mergeCell ref="D16:D18"/>
    <mergeCell ref="E16:E18"/>
    <mergeCell ref="H16:H18"/>
    <mergeCell ref="F20:G20"/>
    <mergeCell ref="E22:E24"/>
    <mergeCell ref="H22:H24"/>
    <mergeCell ref="I22:I24"/>
    <mergeCell ref="J22:J24"/>
    <mergeCell ref="F23:G23"/>
    <mergeCell ref="I25:I27"/>
    <mergeCell ref="J25:J27"/>
    <mergeCell ref="F26:G26"/>
    <mergeCell ref="A28:A36"/>
    <mergeCell ref="B28:B30"/>
    <mergeCell ref="C28:C30"/>
    <mergeCell ref="D28:D36"/>
    <mergeCell ref="E28:E36"/>
    <mergeCell ref="H28:H30"/>
    <mergeCell ref="I28:I30"/>
    <mergeCell ref="B25:B27"/>
    <mergeCell ref="C25:C27"/>
    <mergeCell ref="D25:D27"/>
    <mergeCell ref="E25:E27"/>
    <mergeCell ref="H25:H27"/>
    <mergeCell ref="A16:A27"/>
    <mergeCell ref="J28:J30"/>
    <mergeCell ref="F29:G29"/>
    <mergeCell ref="B31:B33"/>
    <mergeCell ref="C31:C33"/>
    <mergeCell ref="H31:H33"/>
    <mergeCell ref="I31:I33"/>
    <mergeCell ref="J31:J33"/>
    <mergeCell ref="F32:G32"/>
    <mergeCell ref="B34:B36"/>
    <mergeCell ref="C34:C36"/>
    <mergeCell ref="H34:H36"/>
    <mergeCell ref="I34:I36"/>
    <mergeCell ref="J34:J36"/>
    <mergeCell ref="F35:G35"/>
  </mergeCells>
  <conditionalFormatting sqref="F18">
    <cfRule type="cellIs" dxfId="69" priority="7" operator="lessThan">
      <formula>$F$16</formula>
    </cfRule>
    <cfRule type="cellIs" dxfId="68" priority="8" operator="greaterThanOrEqual">
      <formula>$F$16</formula>
    </cfRule>
  </conditionalFormatting>
  <conditionalFormatting sqref="F33">
    <cfRule type="cellIs" dxfId="67" priority="1" operator="lessThan">
      <formula>$F$16</formula>
    </cfRule>
    <cfRule type="cellIs" dxfId="66" priority="2" operator="greaterThanOrEqual">
      <formula>$F$16</formula>
    </cfRule>
  </conditionalFormatting>
  <conditionalFormatting sqref="F36">
    <cfRule type="cellIs" dxfId="65" priority="9" operator="lessThan">
      <formula>$F$16</formula>
    </cfRule>
    <cfRule type="cellIs" dxfId="64" priority="10" operator="greaterThanOrEqual">
      <formula>$F$16</formula>
    </cfRule>
  </conditionalFormatting>
  <conditionalFormatting sqref="J4">
    <cfRule type="cellIs" dxfId="63" priority="11" operator="lessThan">
      <formula>$H$4</formula>
    </cfRule>
    <cfRule type="cellIs" dxfId="62" priority="12" operator="greaterThan">
      <formula>$H$4</formula>
    </cfRule>
  </conditionalFormatting>
  <pageMargins left="0.7" right="0.7" top="0.75" bottom="0.75" header="0" footer="0"/>
  <pageSetup scale="27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C9DDF-8C3B-5B4A-B9F7-966BA545C32B}">
  <sheetPr>
    <tabColor rgb="FF385623"/>
  </sheetPr>
  <dimension ref="A1:Z988"/>
  <sheetViews>
    <sheetView tabSelected="1" workbookViewId="0">
      <selection activeCell="A7" sqref="A7:B7"/>
    </sheetView>
  </sheetViews>
  <sheetFormatPr baseColWidth="10" defaultColWidth="11.1640625" defaultRowHeight="15" customHeight="1"/>
  <cols>
    <col min="1" max="1" width="28.33203125" style="146" customWidth="1"/>
    <col min="2" max="2" width="30.6640625" style="146" customWidth="1"/>
    <col min="3" max="3" width="34" style="146" customWidth="1"/>
    <col min="4" max="4" width="34.1640625" style="146" customWidth="1"/>
    <col min="5" max="5" width="43.6640625" style="146" customWidth="1"/>
    <col min="6" max="6" width="32" style="146" customWidth="1"/>
    <col min="7" max="7" width="31.1640625" style="146" customWidth="1"/>
    <col min="8" max="8" width="26.6640625" style="146" customWidth="1"/>
    <col min="9" max="9" width="28.83203125" style="146" customWidth="1"/>
    <col min="10" max="10" width="35.5" style="146" customWidth="1"/>
    <col min="11" max="14" width="10.5" style="146" customWidth="1"/>
    <col min="15" max="15" width="32.83203125" style="146" customWidth="1"/>
    <col min="16" max="26" width="10.5" style="146" customWidth="1"/>
    <col min="27" max="16384" width="11.1640625" style="146"/>
  </cols>
  <sheetData>
    <row r="1" spans="1:26" ht="54.75" customHeight="1" thickBot="1">
      <c r="A1" s="226" t="e" vm="1">
        <v>#VALUE!</v>
      </c>
      <c r="B1" s="227"/>
      <c r="C1" s="207" t="s">
        <v>0</v>
      </c>
      <c r="D1" s="207"/>
      <c r="E1" s="207"/>
      <c r="F1" s="207"/>
      <c r="G1" s="208"/>
      <c r="H1" s="98" t="s">
        <v>1</v>
      </c>
      <c r="I1" s="183" t="s">
        <v>2</v>
      </c>
      <c r="J1" s="364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</row>
    <row r="2" spans="1:26" ht="117" customHeight="1" thickBot="1">
      <c r="A2" s="228"/>
      <c r="B2" s="229"/>
      <c r="C2" s="209"/>
      <c r="D2" s="209"/>
      <c r="E2" s="209"/>
      <c r="F2" s="209"/>
      <c r="G2" s="210"/>
      <c r="H2" s="98" t="s">
        <v>3</v>
      </c>
      <c r="I2" s="184">
        <v>45889</v>
      </c>
      <c r="J2" s="364"/>
      <c r="K2" s="90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 spans="1:26" ht="46" customHeight="1" thickBot="1">
      <c r="A3" s="201" t="s">
        <v>856</v>
      </c>
      <c r="B3" s="202"/>
      <c r="C3" s="202"/>
      <c r="D3" s="202"/>
      <c r="E3" s="495" t="s">
        <v>855</v>
      </c>
      <c r="F3" s="495"/>
      <c r="G3" s="496"/>
      <c r="H3" s="185" t="s">
        <v>843</v>
      </c>
      <c r="I3" s="186"/>
      <c r="J3" s="187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</row>
    <row r="4" spans="1:26" ht="59" customHeight="1" thickBot="1">
      <c r="A4" s="152" t="s">
        <v>169</v>
      </c>
      <c r="B4" s="171" t="s">
        <v>949</v>
      </c>
      <c r="C4" s="364"/>
      <c r="D4" s="153" t="s">
        <v>8</v>
      </c>
      <c r="E4" s="157" t="s">
        <v>790</v>
      </c>
      <c r="F4" s="350" t="s">
        <v>171</v>
      </c>
      <c r="G4" s="351"/>
      <c r="H4" s="154">
        <v>1700000</v>
      </c>
      <c r="I4" s="155" t="s">
        <v>10</v>
      </c>
      <c r="J4" s="77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</row>
    <row r="5" spans="1:26" ht="58" customHeight="1" thickBot="1">
      <c r="A5" s="353" t="s">
        <v>11</v>
      </c>
      <c r="B5" s="354"/>
      <c r="C5" s="471" t="s">
        <v>653</v>
      </c>
      <c r="D5" s="355"/>
      <c r="E5" s="364"/>
      <c r="F5" s="234" t="s">
        <v>13</v>
      </c>
      <c r="G5" s="194"/>
      <c r="H5" s="237" t="s">
        <v>138</v>
      </c>
      <c r="I5" s="239" t="s">
        <v>15</v>
      </c>
      <c r="J5" s="237" t="s">
        <v>16</v>
      </c>
      <c r="K5" s="90"/>
      <c r="L5" s="90"/>
      <c r="M5" s="163" t="s">
        <v>933</v>
      </c>
      <c r="N5" s="90" t="str">
        <f>UPPER(M5)</f>
        <v>PORCENTAJE DE AUDITORÍAS Y EVALUACIONES REALIZADAS RESPECTO AL TOTAL DE PROGRAMAS Y RECURSOS MUNICIPALES SUJETOS A CONTROL.</v>
      </c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</row>
    <row r="6" spans="1:26" ht="136.5" customHeight="1" thickBot="1">
      <c r="A6" s="121" t="s">
        <v>17</v>
      </c>
      <c r="B6" s="125" t="s">
        <v>18</v>
      </c>
      <c r="C6" s="126" t="s">
        <v>19</v>
      </c>
      <c r="D6" s="127" t="s">
        <v>20</v>
      </c>
      <c r="E6" s="126" t="s">
        <v>21</v>
      </c>
      <c r="F6" s="195"/>
      <c r="G6" s="196"/>
      <c r="H6" s="179"/>
      <c r="I6" s="179"/>
      <c r="J6" s="179"/>
      <c r="K6" s="90"/>
      <c r="L6" s="90"/>
      <c r="M6" s="163"/>
      <c r="N6" s="90" t="str">
        <f>UPPER(M6)</f>
        <v/>
      </c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</row>
    <row r="7" spans="1:26" ht="45.75" customHeight="1" thickBot="1">
      <c r="A7" s="497" t="s">
        <v>22</v>
      </c>
      <c r="B7" s="498"/>
      <c r="C7" s="368" t="s">
        <v>931</v>
      </c>
      <c r="D7" s="355"/>
      <c r="E7" s="364"/>
      <c r="F7" s="175" t="s">
        <v>23</v>
      </c>
      <c r="G7" s="393"/>
      <c r="H7" s="354"/>
      <c r="I7" s="368" t="s">
        <v>654</v>
      </c>
      <c r="J7" s="364"/>
      <c r="K7" s="90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</row>
    <row r="8" spans="1:26" ht="15.75" customHeight="1" thickBot="1">
      <c r="A8" s="499" t="s">
        <v>25</v>
      </c>
      <c r="B8" s="500" t="s">
        <v>26</v>
      </c>
      <c r="C8" s="501" t="s">
        <v>27</v>
      </c>
      <c r="D8" s="355"/>
      <c r="E8" s="364"/>
      <c r="F8" s="370" t="s">
        <v>28</v>
      </c>
      <c r="G8" s="371"/>
      <c r="H8" s="367" t="s">
        <v>29</v>
      </c>
      <c r="I8" s="365" t="s">
        <v>30</v>
      </c>
      <c r="J8" s="367" t="s">
        <v>31</v>
      </c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</row>
    <row r="9" spans="1:26" ht="15.75" customHeight="1" thickBot="1">
      <c r="A9" s="258"/>
      <c r="B9" s="423"/>
      <c r="C9" s="159" t="s">
        <v>32</v>
      </c>
      <c r="D9" s="160" t="s">
        <v>33</v>
      </c>
      <c r="E9" s="161" t="s">
        <v>34</v>
      </c>
      <c r="F9" s="372"/>
      <c r="G9" s="373"/>
      <c r="H9" s="258"/>
      <c r="I9" s="366"/>
      <c r="J9" s="258"/>
      <c r="K9" s="90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</row>
    <row r="10" spans="1:26" ht="76" customHeight="1" thickBot="1">
      <c r="A10" s="382" t="s">
        <v>35</v>
      </c>
      <c r="B10" s="197" t="s">
        <v>929</v>
      </c>
      <c r="C10" s="272" t="s">
        <v>904</v>
      </c>
      <c r="D10" s="256" t="s">
        <v>905</v>
      </c>
      <c r="E10" s="256" t="s">
        <v>39</v>
      </c>
      <c r="F10" s="112">
        <v>60</v>
      </c>
      <c r="G10" s="83" t="s">
        <v>906</v>
      </c>
      <c r="H10" s="256" t="s">
        <v>909</v>
      </c>
      <c r="I10" s="256" t="s">
        <v>910</v>
      </c>
      <c r="J10" s="256" t="s">
        <v>911</v>
      </c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</row>
    <row r="11" spans="1:26" ht="96" customHeight="1" thickBot="1">
      <c r="A11" s="257"/>
      <c r="B11" s="257"/>
      <c r="C11" s="273"/>
      <c r="D11" s="257"/>
      <c r="E11" s="257"/>
      <c r="F11" s="261" t="s">
        <v>44</v>
      </c>
      <c r="G11" s="262"/>
      <c r="H11" s="257"/>
      <c r="I11" s="257"/>
      <c r="J11" s="257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</row>
    <row r="12" spans="1:26" ht="61" customHeight="1" thickBot="1">
      <c r="A12" s="258"/>
      <c r="B12" s="258"/>
      <c r="C12" s="274"/>
      <c r="D12" s="258"/>
      <c r="E12" s="258"/>
      <c r="F12" s="144" t="s">
        <v>907</v>
      </c>
      <c r="G12" s="84" t="s">
        <v>908</v>
      </c>
      <c r="H12" s="258"/>
      <c r="I12" s="258"/>
      <c r="J12" s="258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</row>
    <row r="13" spans="1:26" ht="83" customHeight="1" thickBot="1">
      <c r="A13" s="381" t="s">
        <v>46</v>
      </c>
      <c r="B13" s="213" t="s">
        <v>930</v>
      </c>
      <c r="C13" s="214" t="s">
        <v>934</v>
      </c>
      <c r="D13" s="223" t="s">
        <v>926</v>
      </c>
      <c r="E13" s="223" t="s">
        <v>39</v>
      </c>
      <c r="F13" s="86">
        <v>50</v>
      </c>
      <c r="G13" s="156" t="s">
        <v>935</v>
      </c>
      <c r="H13" s="197" t="s">
        <v>655</v>
      </c>
      <c r="I13" s="197" t="s">
        <v>656</v>
      </c>
      <c r="J13" s="197" t="s">
        <v>657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</row>
    <row r="14" spans="1:26" ht="81" customHeight="1" thickBot="1">
      <c r="A14" s="257"/>
      <c r="B14" s="257"/>
      <c r="C14" s="273"/>
      <c r="D14" s="257"/>
      <c r="E14" s="257"/>
      <c r="F14" s="378" t="s">
        <v>44</v>
      </c>
      <c r="G14" s="262"/>
      <c r="H14" s="257"/>
      <c r="I14" s="257"/>
      <c r="J14" s="257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W14" s="90"/>
      <c r="X14" s="90"/>
      <c r="Y14" s="90"/>
      <c r="Z14" s="90"/>
    </row>
    <row r="15" spans="1:26" ht="47" customHeight="1" thickBot="1">
      <c r="A15" s="258"/>
      <c r="B15" s="258"/>
      <c r="C15" s="274"/>
      <c r="D15" s="258"/>
      <c r="E15" s="258"/>
      <c r="F15" s="89">
        <v>55</v>
      </c>
      <c r="G15" s="156" t="s">
        <v>936</v>
      </c>
      <c r="H15" s="258"/>
      <c r="I15" s="258"/>
      <c r="J15" s="258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</row>
    <row r="16" spans="1:26" ht="119" customHeight="1" thickBot="1">
      <c r="A16" s="383" t="s">
        <v>55</v>
      </c>
      <c r="B16" s="197" t="s">
        <v>932</v>
      </c>
      <c r="C16" s="223" t="s">
        <v>658</v>
      </c>
      <c r="D16" s="223" t="s">
        <v>659</v>
      </c>
      <c r="E16" s="223" t="s">
        <v>39</v>
      </c>
      <c r="F16" s="86">
        <v>3</v>
      </c>
      <c r="G16" s="115" t="s">
        <v>660</v>
      </c>
      <c r="H16" s="197" t="s">
        <v>661</v>
      </c>
      <c r="I16" s="197" t="s">
        <v>662</v>
      </c>
      <c r="J16" s="197" t="s">
        <v>663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</row>
    <row r="17" spans="1:26" ht="67" customHeight="1" thickBot="1">
      <c r="A17" s="384"/>
      <c r="B17" s="257"/>
      <c r="C17" s="257"/>
      <c r="D17" s="257"/>
      <c r="E17" s="257"/>
      <c r="F17" s="378" t="s">
        <v>44</v>
      </c>
      <c r="G17" s="262"/>
      <c r="H17" s="257"/>
      <c r="I17" s="257"/>
      <c r="J17" s="257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</row>
    <row r="18" spans="1:26" ht="57" customHeight="1" thickBot="1">
      <c r="A18" s="384"/>
      <c r="B18" s="258"/>
      <c r="C18" s="258"/>
      <c r="D18" s="258"/>
      <c r="E18" s="258"/>
      <c r="F18" s="89">
        <v>4</v>
      </c>
      <c r="G18" s="115" t="s">
        <v>664</v>
      </c>
      <c r="H18" s="258"/>
      <c r="I18" s="258"/>
      <c r="J18" s="258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</row>
    <row r="19" spans="1:26" ht="55.5" customHeight="1" thickBot="1">
      <c r="A19" s="384"/>
      <c r="B19" s="197" t="s">
        <v>938</v>
      </c>
      <c r="C19" s="223" t="s">
        <v>665</v>
      </c>
      <c r="D19" s="223" t="s">
        <v>666</v>
      </c>
      <c r="E19" s="223" t="s">
        <v>39</v>
      </c>
      <c r="F19" s="86">
        <v>100</v>
      </c>
      <c r="G19" s="115" t="s">
        <v>667</v>
      </c>
      <c r="H19" s="197" t="s">
        <v>668</v>
      </c>
      <c r="I19" s="197" t="s">
        <v>669</v>
      </c>
      <c r="J19" s="197" t="s">
        <v>670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</row>
    <row r="20" spans="1:26" ht="54.75" customHeight="1" thickBot="1">
      <c r="A20" s="384"/>
      <c r="B20" s="257"/>
      <c r="C20" s="257"/>
      <c r="D20" s="257"/>
      <c r="E20" s="257"/>
      <c r="F20" s="378" t="s">
        <v>44</v>
      </c>
      <c r="G20" s="262"/>
      <c r="H20" s="257"/>
      <c r="I20" s="257"/>
      <c r="J20" s="257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</row>
    <row r="21" spans="1:26" ht="60.75" customHeight="1" thickBot="1">
      <c r="A21" s="385"/>
      <c r="B21" s="426"/>
      <c r="C21" s="258"/>
      <c r="D21" s="258"/>
      <c r="E21" s="258"/>
      <c r="F21" s="89">
        <v>100</v>
      </c>
      <c r="G21" s="156" t="s">
        <v>249</v>
      </c>
      <c r="H21" s="258"/>
      <c r="I21" s="258"/>
      <c r="J21" s="258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</row>
    <row r="22" spans="1:26" ht="90.75" customHeight="1" thickBot="1">
      <c r="A22" s="440" t="s">
        <v>79</v>
      </c>
      <c r="B22" s="503" t="s">
        <v>942</v>
      </c>
      <c r="C22" s="505" t="s">
        <v>939</v>
      </c>
      <c r="D22" s="223" t="s">
        <v>926</v>
      </c>
      <c r="E22" s="223" t="s">
        <v>39</v>
      </c>
      <c r="F22" s="86" t="s">
        <v>672</v>
      </c>
      <c r="G22" s="115" t="s">
        <v>671</v>
      </c>
      <c r="H22" s="197" t="s">
        <v>672</v>
      </c>
      <c r="I22" s="197" t="s">
        <v>673</v>
      </c>
      <c r="J22" s="197" t="s">
        <v>674</v>
      </c>
      <c r="K22" s="90"/>
      <c r="L22" s="90"/>
      <c r="M22" s="90"/>
      <c r="N22" s="164" t="s">
        <v>947</v>
      </c>
      <c r="O22" s="90" t="str">
        <f>UPPER(N22)</f>
        <v xml:space="preserve"> ACUERDOS DE DESARROLLO GENERADOS POR EL CONSEJO DE ÉTICA, CONDUCTA Y CONFLICTO DE INTERÉS</v>
      </c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</row>
    <row r="23" spans="1:26" ht="61.5" customHeight="1" thickBot="1">
      <c r="A23" s="432"/>
      <c r="B23" s="432"/>
      <c r="C23" s="351"/>
      <c r="D23" s="257"/>
      <c r="E23" s="257"/>
      <c r="F23" s="378" t="s">
        <v>44</v>
      </c>
      <c r="G23" s="262"/>
      <c r="H23" s="257"/>
      <c r="I23" s="257"/>
      <c r="J23" s="257"/>
      <c r="K23" s="90"/>
      <c r="L23" s="90"/>
      <c r="M23" s="90"/>
      <c r="N23" s="90"/>
      <c r="O23" s="90" t="s">
        <v>948</v>
      </c>
      <c r="P23" s="90"/>
      <c r="Q23" s="90"/>
      <c r="R23" s="90"/>
      <c r="S23" s="90"/>
      <c r="T23" s="90"/>
      <c r="U23" s="90"/>
      <c r="V23" s="90"/>
      <c r="W23" s="90"/>
      <c r="X23" s="90"/>
      <c r="Y23" s="90"/>
      <c r="Z23" s="90"/>
    </row>
    <row r="24" spans="1:26" ht="63.75" customHeight="1" thickBot="1">
      <c r="A24" s="432"/>
      <c r="B24" s="432"/>
      <c r="C24" s="387"/>
      <c r="D24" s="257"/>
      <c r="E24" s="257"/>
      <c r="F24" s="114" t="s">
        <v>937</v>
      </c>
      <c r="G24" s="115" t="s">
        <v>671</v>
      </c>
      <c r="H24" s="258"/>
      <c r="I24" s="258"/>
      <c r="J24" s="258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  <c r="W24" s="90"/>
      <c r="X24" s="90"/>
      <c r="Y24" s="90"/>
      <c r="Z24" s="90"/>
    </row>
    <row r="25" spans="1:26" ht="67.5" customHeight="1" thickBot="1">
      <c r="A25" s="432"/>
      <c r="B25" s="432"/>
      <c r="C25" s="505" t="s">
        <v>943</v>
      </c>
      <c r="D25" s="257"/>
      <c r="E25" s="257"/>
      <c r="F25" s="86">
        <v>63</v>
      </c>
      <c r="G25" s="115" t="s">
        <v>940</v>
      </c>
      <c r="H25" s="197" t="s">
        <v>675</v>
      </c>
      <c r="I25" s="197" t="s">
        <v>207</v>
      </c>
      <c r="J25" s="197" t="s">
        <v>676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</row>
    <row r="26" spans="1:26" ht="58.5" customHeight="1" thickBot="1">
      <c r="A26" s="432"/>
      <c r="B26" s="432"/>
      <c r="C26" s="351"/>
      <c r="D26" s="257"/>
      <c r="E26" s="257"/>
      <c r="F26" s="378" t="s">
        <v>44</v>
      </c>
      <c r="G26" s="262"/>
      <c r="H26" s="257"/>
      <c r="I26" s="257"/>
      <c r="J26" s="257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</row>
    <row r="27" spans="1:26" ht="57.75" customHeight="1" thickBot="1">
      <c r="A27" s="432"/>
      <c r="B27" s="369"/>
      <c r="C27" s="387"/>
      <c r="D27" s="257"/>
      <c r="E27" s="257"/>
      <c r="F27" s="89">
        <v>73</v>
      </c>
      <c r="G27" s="115" t="s">
        <v>941</v>
      </c>
      <c r="H27" s="258"/>
      <c r="I27" s="258"/>
      <c r="J27" s="258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</row>
    <row r="28" spans="1:26" ht="96.75" customHeight="1" thickBot="1">
      <c r="A28" s="432"/>
      <c r="B28" s="503" t="s">
        <v>944</v>
      </c>
      <c r="C28" s="506" t="s">
        <v>945</v>
      </c>
      <c r="D28" s="502" t="s">
        <v>926</v>
      </c>
      <c r="E28" s="502" t="s">
        <v>39</v>
      </c>
      <c r="F28" s="86">
        <v>470</v>
      </c>
      <c r="G28" s="115" t="s">
        <v>677</v>
      </c>
      <c r="H28" s="197" t="s">
        <v>678</v>
      </c>
      <c r="I28" s="197" t="s">
        <v>679</v>
      </c>
      <c r="J28" s="197" t="s">
        <v>680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</row>
    <row r="29" spans="1:26" ht="15.75" customHeight="1" thickBot="1">
      <c r="A29" s="432"/>
      <c r="B29" s="432"/>
      <c r="C29" s="362"/>
      <c r="D29" s="432"/>
      <c r="E29" s="432"/>
      <c r="F29" s="504" t="s">
        <v>44</v>
      </c>
      <c r="G29" s="262"/>
      <c r="H29" s="257"/>
      <c r="I29" s="257"/>
      <c r="J29" s="257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</row>
    <row r="30" spans="1:26" ht="60.75" customHeight="1" thickBot="1">
      <c r="A30" s="432"/>
      <c r="B30" s="432"/>
      <c r="C30" s="439"/>
      <c r="D30" s="432"/>
      <c r="E30" s="432"/>
      <c r="F30" s="165">
        <v>493</v>
      </c>
      <c r="G30" s="115" t="s">
        <v>681</v>
      </c>
      <c r="H30" s="258"/>
      <c r="I30" s="258"/>
      <c r="J30" s="258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  <c r="W30" s="90"/>
      <c r="X30" s="90"/>
      <c r="Y30" s="90"/>
      <c r="Z30" s="90"/>
    </row>
    <row r="31" spans="1:26" ht="60.75" customHeight="1" thickBot="1">
      <c r="A31" s="432"/>
      <c r="B31" s="432"/>
      <c r="C31" s="507" t="s">
        <v>946</v>
      </c>
      <c r="D31" s="432"/>
      <c r="E31" s="432"/>
      <c r="F31" s="86">
        <v>5</v>
      </c>
      <c r="G31" s="156" t="s">
        <v>682</v>
      </c>
      <c r="H31" s="197" t="s">
        <v>683</v>
      </c>
      <c r="I31" s="197" t="s">
        <v>684</v>
      </c>
      <c r="J31" s="197" t="s">
        <v>685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  <c r="W31" s="90"/>
      <c r="X31" s="90"/>
      <c r="Y31" s="90"/>
      <c r="Z31" s="90"/>
    </row>
    <row r="32" spans="1:26" ht="60.75" customHeight="1" thickBot="1">
      <c r="A32" s="432"/>
      <c r="B32" s="432"/>
      <c r="C32" s="362"/>
      <c r="D32" s="432"/>
      <c r="E32" s="432"/>
      <c r="F32" s="504" t="s">
        <v>44</v>
      </c>
      <c r="G32" s="262"/>
      <c r="H32" s="257"/>
      <c r="I32" s="257"/>
      <c r="J32" s="257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  <c r="W32" s="90"/>
      <c r="X32" s="90"/>
      <c r="Y32" s="90"/>
      <c r="Z32" s="90"/>
    </row>
    <row r="33" spans="1:26" ht="60.75" customHeight="1" thickBot="1">
      <c r="A33" s="369"/>
      <c r="B33" s="369"/>
      <c r="C33" s="439"/>
      <c r="D33" s="369"/>
      <c r="E33" s="369"/>
      <c r="F33" s="86">
        <v>6</v>
      </c>
      <c r="G33" s="156" t="s">
        <v>683</v>
      </c>
      <c r="H33" s="258"/>
      <c r="I33" s="258"/>
      <c r="J33" s="258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  <c r="W33" s="90"/>
      <c r="X33" s="90"/>
      <c r="Y33" s="90"/>
      <c r="Z33" s="90"/>
    </row>
    <row r="34" spans="1:26" ht="15.75" customHeight="1">
      <c r="A34" s="90"/>
      <c r="B34" s="90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  <c r="W34" s="90"/>
      <c r="X34" s="90"/>
      <c r="Y34" s="90"/>
      <c r="Z34" s="90"/>
    </row>
    <row r="35" spans="1:26" ht="15.75" customHeight="1">
      <c r="A35" s="90"/>
      <c r="B35" s="90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</row>
    <row r="36" spans="1:26" ht="15.75" customHeight="1">
      <c r="A36" s="90"/>
      <c r="B36" s="90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</row>
    <row r="37" spans="1:26" ht="15.75" customHeight="1">
      <c r="A37" s="90"/>
      <c r="B37" s="90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  <c r="W37" s="90"/>
      <c r="X37" s="90"/>
      <c r="Y37" s="90"/>
      <c r="Z37" s="90"/>
    </row>
    <row r="38" spans="1:26" ht="15.75" customHeight="1">
      <c r="A38" s="90"/>
      <c r="B38" s="90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</row>
    <row r="39" spans="1:26" ht="15.75" customHeight="1">
      <c r="A39" s="90"/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</row>
    <row r="40" spans="1:26" ht="15.75" customHeight="1">
      <c r="A40" s="90"/>
      <c r="B40" s="90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</row>
    <row r="41" spans="1:26" ht="15.75" customHeight="1">
      <c r="A41" s="90"/>
      <c r="B41" s="90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</row>
    <row r="42" spans="1:26" ht="15.75" customHeight="1">
      <c r="A42" s="90"/>
      <c r="B42" s="90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</row>
    <row r="43" spans="1:26" ht="15.75" customHeight="1">
      <c r="A43" s="90"/>
      <c r="B43" s="90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</row>
    <row r="44" spans="1:26" ht="15.75" customHeight="1">
      <c r="A44" s="90"/>
      <c r="B44" s="90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</row>
    <row r="45" spans="1:26" ht="15.75" customHeight="1">
      <c r="A45" s="90"/>
      <c r="B45" s="90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</row>
    <row r="46" spans="1:26" ht="15.75" customHeight="1">
      <c r="A46" s="90"/>
      <c r="B46" s="90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</row>
    <row r="47" spans="1:26" ht="15.75" customHeight="1">
      <c r="A47" s="90"/>
      <c r="B47" s="90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</row>
    <row r="48" spans="1:26" ht="15.75" customHeight="1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</row>
    <row r="49" spans="1:26" ht="15.75" customHeight="1">
      <c r="A49" s="90"/>
      <c r="B49" s="90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</row>
    <row r="50" spans="1:26" ht="15.75" customHeight="1">
      <c r="A50" s="90"/>
      <c r="B50" s="90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</row>
    <row r="51" spans="1:26" ht="15.75" customHeight="1">
      <c r="A51" s="90"/>
      <c r="B51" s="90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</row>
    <row r="52" spans="1:26" ht="15.75" customHeight="1">
      <c r="A52" s="90"/>
      <c r="B52" s="90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</row>
    <row r="53" spans="1:26" ht="15.75" customHeight="1">
      <c r="A53" s="90"/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</row>
    <row r="54" spans="1:26" ht="15.75" customHeight="1">
      <c r="A54" s="90"/>
      <c r="B54" s="90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</row>
    <row r="55" spans="1:26" ht="15.75" customHeight="1">
      <c r="A55" s="90"/>
      <c r="B55" s="90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</row>
    <row r="56" spans="1:26" ht="15.75" customHeight="1">
      <c r="A56" s="90"/>
      <c r="B56" s="90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</row>
    <row r="57" spans="1:26" ht="15.75" customHeight="1">
      <c r="A57" s="90"/>
      <c r="B57" s="90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</row>
    <row r="58" spans="1:26" ht="15.75" customHeight="1">
      <c r="A58" s="90"/>
      <c r="B58" s="90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</row>
    <row r="59" spans="1:26" ht="15.75" customHeight="1">
      <c r="A59" s="90"/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</row>
    <row r="60" spans="1:26" ht="15.75" customHeight="1">
      <c r="A60" s="90"/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</row>
    <row r="61" spans="1:26" ht="15.75" customHeight="1">
      <c r="A61" s="90"/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</row>
    <row r="62" spans="1:26" ht="15.75" customHeight="1">
      <c r="A62" s="90"/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</row>
    <row r="63" spans="1:26" ht="15.75" customHeight="1">
      <c r="A63" s="90"/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</row>
    <row r="64" spans="1:26" ht="15.75" customHeight="1">
      <c r="A64" s="90"/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</row>
    <row r="65" spans="1:26" ht="15.75" customHeight="1">
      <c r="A65" s="90"/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</row>
    <row r="66" spans="1:26" ht="15.75" customHeight="1">
      <c r="A66" s="90"/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</row>
    <row r="67" spans="1:26" ht="15.75" customHeight="1">
      <c r="A67" s="90"/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</row>
    <row r="68" spans="1:26" ht="15.75" customHeight="1">
      <c r="A68" s="90"/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</row>
    <row r="69" spans="1:26" ht="15.75" customHeight="1">
      <c r="A69" s="90"/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</row>
    <row r="70" spans="1:26" ht="15.75" customHeight="1">
      <c r="A70" s="90"/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</row>
    <row r="71" spans="1:26" ht="15.75" customHeight="1">
      <c r="A71" s="90"/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</row>
    <row r="72" spans="1:26" ht="15.75" customHeight="1">
      <c r="A72" s="90"/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</row>
    <row r="73" spans="1:26" ht="15.75" customHeight="1">
      <c r="A73" s="90"/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</row>
    <row r="74" spans="1:26" ht="15.75" customHeight="1">
      <c r="A74" s="90"/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</row>
    <row r="75" spans="1:26" ht="15.75" customHeight="1">
      <c r="A75" s="90"/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</row>
    <row r="76" spans="1:26" ht="15.75" customHeight="1">
      <c r="A76" s="90"/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</row>
    <row r="77" spans="1:26" ht="15.75" customHeight="1">
      <c r="A77" s="90"/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</row>
    <row r="78" spans="1:26" ht="15.75" customHeight="1">
      <c r="A78" s="90"/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</row>
    <row r="79" spans="1:26" ht="15.75" customHeight="1">
      <c r="A79" s="90"/>
      <c r="B79" s="90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</row>
    <row r="80" spans="1:26" ht="15.75" customHeight="1">
      <c r="A80" s="90"/>
      <c r="B80" s="90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</row>
    <row r="81" spans="1:26" ht="15.75" customHeight="1">
      <c r="A81" s="90"/>
      <c r="B81" s="90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</row>
    <row r="82" spans="1:26" ht="15.75" customHeight="1">
      <c r="A82" s="90"/>
      <c r="B82" s="90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</row>
    <row r="83" spans="1:26" ht="15.75" customHeight="1">
      <c r="A83" s="90"/>
      <c r="B83" s="90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</row>
    <row r="84" spans="1:26" ht="15.75" customHeight="1">
      <c r="A84" s="90"/>
      <c r="B84" s="90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</row>
    <row r="85" spans="1:26" ht="15.75" customHeight="1">
      <c r="A85" s="90"/>
      <c r="B85" s="90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</row>
    <row r="86" spans="1:26" ht="15.75" customHeight="1">
      <c r="A86" s="90"/>
      <c r="B86" s="90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</row>
    <row r="87" spans="1:26" ht="15.75" customHeight="1">
      <c r="A87" s="90"/>
      <c r="B87" s="90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</row>
    <row r="88" spans="1:26" ht="15.75" customHeight="1">
      <c r="A88" s="90"/>
      <c r="B88" s="90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</row>
    <row r="89" spans="1:26" ht="15.75" customHeight="1">
      <c r="A89" s="90"/>
      <c r="B89" s="90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</row>
    <row r="90" spans="1:26" ht="15.75" customHeight="1">
      <c r="A90" s="90"/>
      <c r="B90" s="90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</row>
    <row r="91" spans="1:26" ht="15.75" customHeight="1">
      <c r="A91" s="90"/>
      <c r="B91" s="90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</row>
    <row r="92" spans="1:26" ht="15.75" customHeight="1">
      <c r="A92" s="90"/>
      <c r="B92" s="90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</row>
    <row r="93" spans="1:26" ht="15.75" customHeight="1">
      <c r="A93" s="90"/>
      <c r="B93" s="90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</row>
    <row r="94" spans="1:26" ht="15.75" customHeight="1">
      <c r="A94" s="90"/>
      <c r="B94" s="90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</row>
    <row r="95" spans="1:26" ht="15.75" customHeight="1">
      <c r="A95" s="90"/>
      <c r="B95" s="90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</row>
    <row r="96" spans="1:26" ht="15.75" customHeight="1">
      <c r="A96" s="90"/>
      <c r="B96" s="90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</row>
    <row r="97" spans="1:26" ht="15.75" customHeight="1">
      <c r="A97" s="90"/>
      <c r="B97" s="90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</row>
    <row r="98" spans="1:26" ht="15.75" customHeight="1">
      <c r="A98" s="90"/>
      <c r="B98" s="90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</row>
    <row r="99" spans="1:26" ht="15.75" customHeight="1">
      <c r="A99" s="90"/>
      <c r="B99" s="90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</row>
    <row r="100" spans="1:26" ht="15.75" customHeight="1">
      <c r="A100" s="90"/>
      <c r="B100" s="90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</row>
    <row r="101" spans="1:26" ht="15.75" customHeight="1">
      <c r="A101" s="90"/>
      <c r="B101" s="90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</row>
    <row r="102" spans="1:26" ht="15.75" customHeight="1">
      <c r="A102" s="90"/>
      <c r="B102" s="90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</row>
    <row r="103" spans="1:26" ht="15.75" customHeight="1">
      <c r="A103" s="90"/>
      <c r="B103" s="90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</row>
    <row r="104" spans="1:26" ht="15.75" customHeight="1">
      <c r="A104" s="90"/>
      <c r="B104" s="90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</row>
    <row r="105" spans="1:26" ht="15.75" customHeight="1">
      <c r="A105" s="90"/>
      <c r="B105" s="90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</row>
    <row r="106" spans="1:26" ht="15.75" customHeight="1">
      <c r="A106" s="90"/>
      <c r="B106" s="90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</row>
    <row r="107" spans="1:26" ht="15.75" customHeight="1">
      <c r="A107" s="90"/>
      <c r="B107" s="90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</row>
    <row r="108" spans="1:26" ht="15.75" customHeight="1">
      <c r="A108" s="90"/>
      <c r="B108" s="90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</row>
    <row r="109" spans="1:26" ht="15.75" customHeight="1">
      <c r="A109" s="90"/>
      <c r="B109" s="90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</row>
    <row r="110" spans="1:26" ht="15.75" customHeight="1">
      <c r="A110" s="90"/>
      <c r="B110" s="90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</row>
    <row r="111" spans="1:26" ht="15.75" customHeight="1">
      <c r="A111" s="90"/>
      <c r="B111" s="90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</row>
    <row r="112" spans="1:26" ht="15.75" customHeight="1">
      <c r="A112" s="90"/>
      <c r="B112" s="90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</row>
    <row r="113" spans="1:26" ht="15.75" customHeight="1">
      <c r="A113" s="90"/>
      <c r="B113" s="90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</row>
    <row r="114" spans="1:26" ht="15.75" customHeight="1">
      <c r="A114" s="90"/>
      <c r="B114" s="90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</row>
    <row r="115" spans="1:26" ht="15.75" customHeight="1">
      <c r="A115" s="90"/>
      <c r="B115" s="90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</row>
    <row r="116" spans="1:26" ht="15.75" customHeight="1">
      <c r="A116" s="90"/>
      <c r="B116" s="90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</row>
    <row r="117" spans="1:26" ht="15.75" customHeight="1">
      <c r="A117" s="90"/>
      <c r="B117" s="90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</row>
    <row r="118" spans="1:26" ht="15.75" customHeight="1">
      <c r="A118" s="90"/>
      <c r="B118" s="90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</row>
    <row r="119" spans="1:26" ht="15.75" customHeight="1">
      <c r="A119" s="90"/>
      <c r="B119" s="90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</row>
    <row r="120" spans="1:26" ht="15.75" customHeight="1">
      <c r="A120" s="90"/>
      <c r="B120" s="90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</row>
    <row r="121" spans="1:26" ht="15.75" customHeight="1">
      <c r="A121" s="90"/>
      <c r="B121" s="90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</row>
    <row r="122" spans="1:26" ht="15.75" customHeight="1">
      <c r="A122" s="90"/>
      <c r="B122" s="90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</row>
    <row r="123" spans="1:26" ht="15.75" customHeight="1">
      <c r="A123" s="90"/>
      <c r="B123" s="90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</row>
    <row r="124" spans="1:26" ht="15.75" customHeight="1">
      <c r="A124" s="90"/>
      <c r="B124" s="90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</row>
    <row r="125" spans="1:26" ht="15.75" customHeight="1">
      <c r="A125" s="90"/>
      <c r="B125" s="90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</row>
    <row r="126" spans="1:26" ht="15.75" customHeight="1">
      <c r="A126" s="90"/>
      <c r="B126" s="90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</row>
    <row r="127" spans="1:26" ht="15.75" customHeight="1">
      <c r="A127" s="90"/>
      <c r="B127" s="90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</row>
    <row r="128" spans="1:26" ht="15.75" customHeight="1">
      <c r="A128" s="90"/>
      <c r="B128" s="90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</row>
    <row r="129" spans="1:26" ht="15.75" customHeight="1">
      <c r="A129" s="90"/>
      <c r="B129" s="90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</row>
    <row r="130" spans="1:26" ht="15.75" customHeight="1">
      <c r="A130" s="90"/>
      <c r="B130" s="90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</row>
    <row r="131" spans="1:26" ht="15.75" customHeight="1">
      <c r="A131" s="90"/>
      <c r="B131" s="90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</row>
    <row r="132" spans="1:26" ht="15.75" customHeight="1">
      <c r="A132" s="90"/>
      <c r="B132" s="90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</row>
    <row r="133" spans="1:26" ht="15.75" customHeight="1">
      <c r="A133" s="90"/>
      <c r="B133" s="90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</row>
    <row r="134" spans="1:26" ht="15.75" customHeight="1">
      <c r="A134" s="90"/>
      <c r="B134" s="90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</row>
    <row r="135" spans="1:26" ht="15.75" customHeight="1">
      <c r="A135" s="90"/>
      <c r="B135" s="90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</row>
    <row r="136" spans="1:26" ht="15.75" customHeight="1">
      <c r="A136" s="90"/>
      <c r="B136" s="90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</row>
    <row r="137" spans="1:26" ht="15.75" customHeight="1">
      <c r="A137" s="90"/>
      <c r="B137" s="90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</row>
    <row r="138" spans="1:26" ht="15.75" customHeight="1">
      <c r="A138" s="90"/>
      <c r="B138" s="90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</row>
    <row r="139" spans="1:26" ht="15.75" customHeight="1">
      <c r="A139" s="90"/>
      <c r="B139" s="90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</row>
    <row r="140" spans="1:26" ht="15.75" customHeight="1">
      <c r="A140" s="90"/>
      <c r="B140" s="90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</row>
    <row r="141" spans="1:26" ht="15.75" customHeight="1">
      <c r="A141" s="90"/>
      <c r="B141" s="90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</row>
    <row r="142" spans="1:26" ht="15.75" customHeight="1">
      <c r="A142" s="90"/>
      <c r="B142" s="90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</row>
    <row r="143" spans="1:26" ht="15.75" customHeight="1">
      <c r="A143" s="90"/>
      <c r="B143" s="90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</row>
    <row r="144" spans="1:26" ht="15.75" customHeight="1">
      <c r="A144" s="90"/>
      <c r="B144" s="90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</row>
    <row r="145" spans="1:26" ht="15.75" customHeight="1">
      <c r="A145" s="90"/>
      <c r="B145" s="90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</row>
    <row r="146" spans="1:26" ht="15.75" customHeight="1">
      <c r="A146" s="90"/>
      <c r="B146" s="90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</row>
    <row r="147" spans="1:26" ht="15.75" customHeight="1">
      <c r="A147" s="90"/>
      <c r="B147" s="90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</row>
    <row r="148" spans="1:26" ht="15.75" customHeight="1">
      <c r="A148" s="90"/>
      <c r="B148" s="90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</row>
    <row r="149" spans="1:26" ht="15.75" customHeight="1">
      <c r="A149" s="90"/>
      <c r="B149" s="90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</row>
    <row r="150" spans="1:26" ht="15.75" customHeight="1">
      <c r="A150" s="90"/>
      <c r="B150" s="90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</row>
    <row r="151" spans="1:26" ht="15.75" customHeight="1">
      <c r="A151" s="90"/>
      <c r="B151" s="90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</row>
    <row r="152" spans="1:26" ht="15.75" customHeight="1">
      <c r="A152" s="90"/>
      <c r="B152" s="90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</row>
    <row r="153" spans="1:26" ht="15.75" customHeight="1">
      <c r="A153" s="90"/>
      <c r="B153" s="90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</row>
    <row r="154" spans="1:26" ht="15.75" customHeight="1">
      <c r="A154" s="90"/>
      <c r="B154" s="90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</row>
    <row r="155" spans="1:26" ht="15.75" customHeight="1">
      <c r="A155" s="90"/>
      <c r="B155" s="90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</row>
    <row r="156" spans="1:26" ht="15.75" customHeight="1">
      <c r="A156" s="90"/>
      <c r="B156" s="90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</row>
    <row r="157" spans="1:26" ht="15.75" customHeight="1">
      <c r="A157" s="90"/>
      <c r="B157" s="90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</row>
    <row r="158" spans="1:26" ht="15.75" customHeight="1">
      <c r="A158" s="90"/>
      <c r="B158" s="90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</row>
    <row r="159" spans="1:26" ht="15.75" customHeight="1">
      <c r="A159" s="90"/>
      <c r="B159" s="90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</row>
    <row r="160" spans="1:26" ht="15.75" customHeight="1">
      <c r="A160" s="90"/>
      <c r="B160" s="90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</row>
    <row r="161" spans="1:26" ht="15.75" customHeight="1">
      <c r="A161" s="90"/>
      <c r="B161" s="90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</row>
    <row r="162" spans="1:26" ht="15.75" customHeight="1">
      <c r="A162" s="90"/>
      <c r="B162" s="90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</row>
    <row r="163" spans="1:26" ht="15.75" customHeight="1">
      <c r="A163" s="90"/>
      <c r="B163" s="90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</row>
    <row r="164" spans="1:26" ht="15.75" customHeight="1">
      <c r="A164" s="90"/>
      <c r="B164" s="90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</row>
    <row r="165" spans="1:26" ht="15.75" customHeight="1">
      <c r="A165" s="90"/>
      <c r="B165" s="90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</row>
    <row r="166" spans="1:26" ht="15.75" customHeight="1">
      <c r="A166" s="90"/>
      <c r="B166" s="90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</row>
    <row r="167" spans="1:26" ht="15.75" customHeight="1">
      <c r="A167" s="90"/>
      <c r="B167" s="90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</row>
    <row r="168" spans="1:26" ht="15.75" customHeight="1">
      <c r="A168" s="90"/>
      <c r="B168" s="90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</row>
    <row r="169" spans="1:26" ht="15.75" customHeight="1">
      <c r="A169" s="90"/>
      <c r="B169" s="90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</row>
    <row r="170" spans="1:26" ht="15.75" customHeight="1">
      <c r="A170" s="90"/>
      <c r="B170" s="90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</row>
    <row r="171" spans="1:26" ht="15.75" customHeight="1">
      <c r="A171" s="90"/>
      <c r="B171" s="90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</row>
    <row r="172" spans="1:26" ht="15.75" customHeight="1">
      <c r="A172" s="90"/>
      <c r="B172" s="90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</row>
    <row r="173" spans="1:26" ht="15.75" customHeight="1">
      <c r="A173" s="90"/>
      <c r="B173" s="90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</row>
    <row r="174" spans="1:26" ht="15.75" customHeight="1">
      <c r="A174" s="90"/>
      <c r="B174" s="90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</row>
    <row r="175" spans="1:26" ht="15.75" customHeight="1">
      <c r="A175" s="90"/>
      <c r="B175" s="90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</row>
    <row r="176" spans="1:26" ht="15.75" customHeight="1">
      <c r="A176" s="90"/>
      <c r="B176" s="90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  <c r="W176" s="90"/>
      <c r="X176" s="90"/>
      <c r="Y176" s="90"/>
      <c r="Z176" s="90"/>
    </row>
    <row r="177" spans="1:26" ht="15.75" customHeight="1">
      <c r="A177" s="90"/>
      <c r="B177" s="90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  <c r="W177" s="90"/>
      <c r="X177" s="90"/>
      <c r="Y177" s="90"/>
      <c r="Z177" s="90"/>
    </row>
    <row r="178" spans="1:26" ht="15.75" customHeight="1">
      <c r="A178" s="90"/>
      <c r="B178" s="90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  <c r="W178" s="90"/>
      <c r="X178" s="90"/>
      <c r="Y178" s="90"/>
      <c r="Z178" s="90"/>
    </row>
    <row r="179" spans="1:26" ht="15.75" customHeight="1">
      <c r="A179" s="90"/>
      <c r="B179" s="90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  <c r="W179" s="90"/>
      <c r="X179" s="90"/>
      <c r="Y179" s="90"/>
      <c r="Z179" s="90"/>
    </row>
    <row r="180" spans="1:26" ht="15.75" customHeight="1">
      <c r="A180" s="90"/>
      <c r="B180" s="90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  <c r="W180" s="90"/>
      <c r="X180" s="90"/>
      <c r="Y180" s="90"/>
      <c r="Z180" s="90"/>
    </row>
    <row r="181" spans="1:26" ht="15.75" customHeight="1">
      <c r="A181" s="90"/>
      <c r="B181" s="90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  <c r="W181" s="90"/>
      <c r="X181" s="90"/>
      <c r="Y181" s="90"/>
      <c r="Z181" s="90"/>
    </row>
    <row r="182" spans="1:26" ht="15.75" customHeight="1">
      <c r="A182" s="90"/>
      <c r="B182" s="90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  <c r="W182" s="90"/>
      <c r="X182" s="90"/>
      <c r="Y182" s="90"/>
      <c r="Z182" s="90"/>
    </row>
    <row r="183" spans="1:26" ht="15.7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</row>
    <row r="184" spans="1:26" ht="15.75" customHeight="1">
      <c r="A184" s="90"/>
      <c r="B184" s="90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</row>
    <row r="185" spans="1:26" ht="15.75" customHeight="1">
      <c r="A185" s="90"/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</row>
    <row r="186" spans="1:26" ht="15.75" customHeight="1">
      <c r="A186" s="90"/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</row>
    <row r="187" spans="1:26" ht="15.75" customHeight="1">
      <c r="A187" s="90"/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</row>
    <row r="188" spans="1:26" ht="15.75" customHeight="1">
      <c r="A188" s="90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</row>
    <row r="189" spans="1:26" ht="15.75" customHeight="1">
      <c r="A189" s="90"/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</row>
    <row r="190" spans="1:26" ht="15.75" customHeight="1">
      <c r="A190" s="90"/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</row>
    <row r="191" spans="1:26" ht="15.75" customHeight="1">
      <c r="A191" s="90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</row>
    <row r="192" spans="1:26" ht="15.75" customHeight="1">
      <c r="A192" s="90"/>
      <c r="B192" s="90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  <c r="W192" s="90"/>
      <c r="X192" s="90"/>
      <c r="Y192" s="90"/>
      <c r="Z192" s="90"/>
    </row>
    <row r="193" spans="1:26" ht="15.75" customHeight="1">
      <c r="A193" s="90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</row>
    <row r="194" spans="1:26" ht="15.75" customHeight="1">
      <c r="A194" s="90"/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</row>
    <row r="195" spans="1:26" ht="15.75" customHeight="1">
      <c r="A195" s="90"/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</row>
    <row r="196" spans="1:26" ht="15.75" customHeight="1">
      <c r="A196" s="90"/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</row>
    <row r="197" spans="1:26" ht="15.75" customHeight="1">
      <c r="A197" s="90"/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</row>
    <row r="198" spans="1:26" ht="15.75" customHeight="1">
      <c r="A198" s="90"/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</row>
    <row r="199" spans="1:26" ht="15.75" customHeight="1">
      <c r="A199" s="90"/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</row>
    <row r="200" spans="1:26" ht="15.75" customHeight="1">
      <c r="A200" s="90"/>
      <c r="B200" s="90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  <c r="W200" s="90"/>
      <c r="X200" s="90"/>
      <c r="Y200" s="90"/>
      <c r="Z200" s="90"/>
    </row>
    <row r="201" spans="1:26" ht="15.75" customHeight="1">
      <c r="A201" s="90"/>
      <c r="B201" s="90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  <c r="W201" s="90"/>
      <c r="X201" s="90"/>
      <c r="Y201" s="90"/>
      <c r="Z201" s="90"/>
    </row>
    <row r="202" spans="1:26" ht="15.75" customHeight="1">
      <c r="A202" s="90"/>
      <c r="B202" s="90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  <c r="W202" s="90"/>
      <c r="X202" s="90"/>
      <c r="Y202" s="90"/>
      <c r="Z202" s="90"/>
    </row>
    <row r="203" spans="1:26" ht="15.75" customHeight="1">
      <c r="A203" s="90"/>
      <c r="B203" s="90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  <c r="W203" s="90"/>
      <c r="X203" s="90"/>
      <c r="Y203" s="90"/>
      <c r="Z203" s="90"/>
    </row>
    <row r="204" spans="1:26" ht="15.75" customHeight="1">
      <c r="A204" s="90"/>
      <c r="B204" s="90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  <c r="W204" s="90"/>
      <c r="X204" s="90"/>
      <c r="Y204" s="90"/>
      <c r="Z204" s="90"/>
    </row>
    <row r="205" spans="1:26" ht="15.75" customHeight="1">
      <c r="A205" s="90"/>
      <c r="B205" s="90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  <c r="W205" s="90"/>
      <c r="X205" s="90"/>
      <c r="Y205" s="90"/>
      <c r="Z205" s="90"/>
    </row>
    <row r="206" spans="1:26" ht="15.75" customHeight="1">
      <c r="A206" s="90"/>
      <c r="B206" s="90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  <c r="W206" s="90"/>
      <c r="X206" s="90"/>
      <c r="Y206" s="90"/>
      <c r="Z206" s="90"/>
    </row>
    <row r="207" spans="1:26" ht="15.75" customHeight="1">
      <c r="A207" s="90"/>
      <c r="B207" s="90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  <c r="W207" s="90"/>
      <c r="X207" s="90"/>
      <c r="Y207" s="90"/>
      <c r="Z207" s="90"/>
    </row>
    <row r="208" spans="1:26" ht="15.75" customHeight="1">
      <c r="A208" s="90"/>
      <c r="B208" s="90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  <c r="W208" s="90"/>
      <c r="X208" s="90"/>
      <c r="Y208" s="90"/>
      <c r="Z208" s="90"/>
    </row>
    <row r="209" spans="1:26" ht="15.75" customHeight="1">
      <c r="A209" s="90"/>
      <c r="B209" s="90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  <c r="W209" s="90"/>
      <c r="X209" s="90"/>
      <c r="Y209" s="90"/>
      <c r="Z209" s="90"/>
    </row>
    <row r="210" spans="1:26" ht="15.75" customHeight="1">
      <c r="A210" s="90"/>
      <c r="B210" s="90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  <c r="W210" s="90"/>
      <c r="X210" s="90"/>
      <c r="Y210" s="90"/>
      <c r="Z210" s="90"/>
    </row>
    <row r="211" spans="1:26" ht="15.75" customHeight="1">
      <c r="A211" s="90"/>
      <c r="B211" s="90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  <c r="W211" s="90"/>
      <c r="X211" s="90"/>
      <c r="Y211" s="90"/>
      <c r="Z211" s="90"/>
    </row>
    <row r="212" spans="1:26" ht="15.75" customHeight="1">
      <c r="A212" s="90"/>
      <c r="B212" s="90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  <c r="W212" s="90"/>
      <c r="X212" s="90"/>
      <c r="Y212" s="90"/>
      <c r="Z212" s="90"/>
    </row>
    <row r="213" spans="1:26" ht="15.75" customHeight="1">
      <c r="A213" s="90"/>
      <c r="B213" s="90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  <c r="W213" s="90"/>
      <c r="X213" s="90"/>
      <c r="Y213" s="90"/>
      <c r="Z213" s="90"/>
    </row>
    <row r="214" spans="1:26" ht="15.75" customHeight="1">
      <c r="A214" s="90"/>
      <c r="B214" s="90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  <c r="W214" s="90"/>
      <c r="X214" s="90"/>
      <c r="Y214" s="90"/>
      <c r="Z214" s="90"/>
    </row>
    <row r="215" spans="1:26" ht="15.75" customHeight="1">
      <c r="A215" s="90"/>
      <c r="B215" s="90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  <c r="W215" s="90"/>
      <c r="X215" s="90"/>
      <c r="Y215" s="90"/>
      <c r="Z215" s="90"/>
    </row>
    <row r="216" spans="1:26" ht="15.75" customHeight="1">
      <c r="A216" s="90"/>
      <c r="B216" s="90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  <c r="W216" s="90"/>
      <c r="X216" s="90"/>
      <c r="Y216" s="90"/>
      <c r="Z216" s="90"/>
    </row>
    <row r="217" spans="1:26" ht="15.75" customHeight="1">
      <c r="A217" s="90"/>
      <c r="B217" s="90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  <c r="W217" s="90"/>
      <c r="X217" s="90"/>
      <c r="Y217" s="90"/>
      <c r="Z217" s="90"/>
    </row>
    <row r="218" spans="1:26" ht="15.75" customHeight="1">
      <c r="A218" s="90"/>
      <c r="B218" s="90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  <c r="W218" s="90"/>
      <c r="X218" s="90"/>
      <c r="Y218" s="90"/>
      <c r="Z218" s="90"/>
    </row>
    <row r="219" spans="1:26" ht="15.75" customHeight="1">
      <c r="A219" s="90"/>
      <c r="B219" s="90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  <c r="W219" s="90"/>
      <c r="X219" s="90"/>
      <c r="Y219" s="90"/>
      <c r="Z219" s="90"/>
    </row>
    <row r="220" spans="1:26" ht="15.75" customHeight="1">
      <c r="A220" s="90"/>
      <c r="B220" s="90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  <c r="W220" s="90"/>
      <c r="X220" s="90"/>
      <c r="Y220" s="90"/>
      <c r="Z220" s="90"/>
    </row>
    <row r="221" spans="1:26" ht="15.75" customHeight="1">
      <c r="A221" s="90"/>
      <c r="B221" s="90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  <c r="W221" s="90"/>
      <c r="X221" s="90"/>
      <c r="Y221" s="90"/>
      <c r="Z221" s="90"/>
    </row>
    <row r="222" spans="1:26" ht="15.75" customHeight="1">
      <c r="A222" s="90"/>
      <c r="B222" s="90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  <c r="W222" s="90"/>
      <c r="X222" s="90"/>
      <c r="Y222" s="90"/>
      <c r="Z222" s="90"/>
    </row>
    <row r="223" spans="1:26" ht="15.75" customHeight="1">
      <c r="A223" s="90"/>
      <c r="B223" s="90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  <c r="W223" s="90"/>
      <c r="X223" s="90"/>
      <c r="Y223" s="90"/>
      <c r="Z223" s="90"/>
    </row>
    <row r="224" spans="1:26" ht="15.75" customHeight="1">
      <c r="A224" s="90"/>
      <c r="B224" s="90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  <c r="W224" s="90"/>
      <c r="X224" s="90"/>
      <c r="Y224" s="90"/>
      <c r="Z224" s="90"/>
    </row>
    <row r="225" spans="1:26" ht="15.75" customHeight="1">
      <c r="A225" s="90"/>
      <c r="B225" s="90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  <c r="W225" s="90"/>
      <c r="X225" s="90"/>
      <c r="Y225" s="90"/>
      <c r="Z225" s="90"/>
    </row>
    <row r="226" spans="1:26" ht="15.75" customHeight="1">
      <c r="A226" s="90"/>
      <c r="B226" s="90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  <c r="W226" s="90"/>
      <c r="X226" s="90"/>
      <c r="Y226" s="90"/>
      <c r="Z226" s="90"/>
    </row>
    <row r="227" spans="1:26" ht="15.75" customHeight="1">
      <c r="A227" s="90"/>
      <c r="B227" s="90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  <c r="W227" s="90"/>
      <c r="X227" s="90"/>
      <c r="Y227" s="90"/>
      <c r="Z227" s="90"/>
    </row>
    <row r="228" spans="1:26" ht="15.75" customHeight="1">
      <c r="A228" s="90"/>
      <c r="B228" s="90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  <c r="W228" s="90"/>
      <c r="X228" s="90"/>
      <c r="Y228" s="90"/>
      <c r="Z228" s="90"/>
    </row>
    <row r="229" spans="1:26" ht="15.75" customHeight="1">
      <c r="A229" s="90"/>
      <c r="B229" s="90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  <c r="W229" s="90"/>
      <c r="X229" s="90"/>
      <c r="Y229" s="90"/>
      <c r="Z229" s="90"/>
    </row>
    <row r="230" spans="1:26" ht="15.75" customHeight="1">
      <c r="A230" s="90"/>
      <c r="B230" s="90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  <c r="W230" s="90"/>
      <c r="X230" s="90"/>
      <c r="Y230" s="90"/>
      <c r="Z230" s="90"/>
    </row>
    <row r="231" spans="1:26" ht="15.75" customHeight="1">
      <c r="A231" s="90"/>
      <c r="B231" s="90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  <c r="W231" s="90"/>
      <c r="X231" s="90"/>
      <c r="Y231" s="90"/>
      <c r="Z231" s="90"/>
    </row>
    <row r="232" spans="1:26" ht="15.75" customHeight="1">
      <c r="A232" s="90"/>
      <c r="B232" s="90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  <c r="W232" s="90"/>
      <c r="X232" s="90"/>
      <c r="Y232" s="90"/>
      <c r="Z232" s="90"/>
    </row>
    <row r="233" spans="1:26" ht="15.75" customHeight="1">
      <c r="A233" s="90"/>
      <c r="B233" s="90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  <c r="W233" s="90"/>
      <c r="X233" s="90"/>
      <c r="Y233" s="90"/>
      <c r="Z233" s="90"/>
    </row>
    <row r="234" spans="1:26" ht="15.75" customHeight="1">
      <c r="A234" s="90"/>
      <c r="B234" s="90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  <c r="W234" s="90"/>
      <c r="X234" s="90"/>
      <c r="Y234" s="90"/>
      <c r="Z234" s="90"/>
    </row>
    <row r="235" spans="1:26" ht="15.75" customHeight="1">
      <c r="A235" s="90"/>
      <c r="B235" s="90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  <c r="W235" s="90"/>
      <c r="X235" s="90"/>
      <c r="Y235" s="90"/>
      <c r="Z235" s="90"/>
    </row>
    <row r="236" spans="1:26" ht="15.75" customHeight="1">
      <c r="A236" s="90"/>
      <c r="B236" s="90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  <c r="W236" s="90"/>
      <c r="X236" s="90"/>
      <c r="Y236" s="90"/>
      <c r="Z236" s="90"/>
    </row>
    <row r="237" spans="1:26" ht="15.75" customHeight="1">
      <c r="A237" s="90"/>
      <c r="B237" s="90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  <c r="W237" s="90"/>
      <c r="X237" s="90"/>
      <c r="Y237" s="90"/>
      <c r="Z237" s="90"/>
    </row>
    <row r="238" spans="1:26" ht="15.75" customHeight="1">
      <c r="A238" s="90"/>
      <c r="B238" s="90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  <c r="W238" s="90"/>
      <c r="X238" s="90"/>
      <c r="Y238" s="90"/>
      <c r="Z238" s="90"/>
    </row>
    <row r="239" spans="1:26" ht="15.75" customHeight="1">
      <c r="A239" s="90"/>
      <c r="B239" s="90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  <c r="W239" s="90"/>
      <c r="X239" s="90"/>
      <c r="Y239" s="90"/>
      <c r="Z239" s="90"/>
    </row>
    <row r="240" spans="1:26" ht="15.75" customHeight="1">
      <c r="A240" s="90"/>
      <c r="B240" s="90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  <c r="W240" s="90"/>
      <c r="X240" s="90"/>
      <c r="Y240" s="90"/>
      <c r="Z240" s="90"/>
    </row>
    <row r="241" spans="1:26" ht="15.75" customHeight="1">
      <c r="A241" s="90"/>
      <c r="B241" s="90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  <c r="W241" s="90"/>
      <c r="X241" s="90"/>
      <c r="Y241" s="90"/>
      <c r="Z241" s="90"/>
    </row>
    <row r="242" spans="1:26" ht="15.75" customHeight="1">
      <c r="A242" s="90"/>
      <c r="B242" s="90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  <c r="W242" s="90"/>
      <c r="X242" s="90"/>
      <c r="Y242" s="90"/>
      <c r="Z242" s="90"/>
    </row>
    <row r="243" spans="1:26" ht="15.75" customHeight="1">
      <c r="A243" s="90"/>
      <c r="B243" s="90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  <c r="W243" s="90"/>
      <c r="X243" s="90"/>
      <c r="Y243" s="90"/>
      <c r="Z243" s="90"/>
    </row>
    <row r="244" spans="1:26" ht="15.75" customHeight="1">
      <c r="A244" s="90"/>
      <c r="B244" s="90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  <c r="W244" s="90"/>
      <c r="X244" s="90"/>
      <c r="Y244" s="90"/>
      <c r="Z244" s="90"/>
    </row>
    <row r="245" spans="1:26" ht="15.75" customHeight="1">
      <c r="A245" s="90"/>
      <c r="B245" s="90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  <c r="W245" s="90"/>
      <c r="X245" s="90"/>
      <c r="Y245" s="90"/>
      <c r="Z245" s="90"/>
    </row>
    <row r="246" spans="1:26" ht="15.75" customHeight="1">
      <c r="A246" s="90"/>
      <c r="B246" s="90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  <c r="W246" s="90"/>
      <c r="X246" s="90"/>
      <c r="Y246" s="90"/>
      <c r="Z246" s="90"/>
    </row>
    <row r="247" spans="1:26" ht="15.75" customHeight="1">
      <c r="A247" s="90"/>
      <c r="B247" s="90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  <c r="W247" s="90"/>
      <c r="X247" s="90"/>
      <c r="Y247" s="90"/>
      <c r="Z247" s="90"/>
    </row>
    <row r="248" spans="1:26" ht="15.75" customHeight="1">
      <c r="A248" s="90"/>
      <c r="B248" s="90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  <c r="W248" s="90"/>
      <c r="X248" s="90"/>
      <c r="Y248" s="90"/>
      <c r="Z248" s="90"/>
    </row>
    <row r="249" spans="1:26" ht="15.75" customHeight="1">
      <c r="A249" s="90"/>
      <c r="B249" s="90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  <c r="W249" s="90"/>
      <c r="X249" s="90"/>
      <c r="Y249" s="90"/>
      <c r="Z249" s="90"/>
    </row>
    <row r="250" spans="1:26" ht="15.75" customHeight="1">
      <c r="A250" s="90"/>
      <c r="B250" s="90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  <c r="W250" s="90"/>
      <c r="X250" s="90"/>
      <c r="Y250" s="90"/>
      <c r="Z250" s="90"/>
    </row>
    <row r="251" spans="1:26" ht="15.75" customHeight="1">
      <c r="A251" s="90"/>
      <c r="B251" s="90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  <c r="W251" s="90"/>
      <c r="X251" s="90"/>
      <c r="Y251" s="90"/>
      <c r="Z251" s="90"/>
    </row>
    <row r="252" spans="1:26" ht="15.75" customHeight="1">
      <c r="A252" s="90"/>
      <c r="B252" s="90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  <c r="W252" s="90"/>
      <c r="X252" s="90"/>
      <c r="Y252" s="90"/>
      <c r="Z252" s="90"/>
    </row>
    <row r="253" spans="1:26" ht="15.75" customHeight="1">
      <c r="A253" s="90"/>
      <c r="B253" s="90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  <c r="W253" s="90"/>
      <c r="X253" s="90"/>
      <c r="Y253" s="90"/>
      <c r="Z253" s="90"/>
    </row>
    <row r="254" spans="1:26" ht="15.75" customHeight="1">
      <c r="A254" s="90"/>
      <c r="B254" s="90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  <c r="W254" s="90"/>
      <c r="X254" s="90"/>
      <c r="Y254" s="90"/>
      <c r="Z254" s="90"/>
    </row>
    <row r="255" spans="1:26" ht="15.75" customHeight="1">
      <c r="A255" s="90"/>
      <c r="B255" s="90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  <c r="W255" s="90"/>
      <c r="X255" s="90"/>
      <c r="Y255" s="90"/>
      <c r="Z255" s="90"/>
    </row>
    <row r="256" spans="1:26" ht="15.75" customHeight="1">
      <c r="A256" s="90"/>
      <c r="B256" s="90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  <c r="W256" s="90"/>
      <c r="X256" s="90"/>
      <c r="Y256" s="90"/>
      <c r="Z256" s="90"/>
    </row>
    <row r="257" spans="1:26" ht="15.75" customHeight="1">
      <c r="A257" s="90"/>
      <c r="B257" s="90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  <c r="W257" s="90"/>
      <c r="X257" s="90"/>
      <c r="Y257" s="90"/>
      <c r="Z257" s="90"/>
    </row>
    <row r="258" spans="1:26" ht="15.75" customHeight="1">
      <c r="A258" s="90"/>
      <c r="B258" s="90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  <c r="W258" s="90"/>
      <c r="X258" s="90"/>
      <c r="Y258" s="90"/>
      <c r="Z258" s="90"/>
    </row>
    <row r="259" spans="1:26" ht="15.75" customHeight="1">
      <c r="A259" s="90"/>
      <c r="B259" s="90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  <c r="W259" s="90"/>
      <c r="X259" s="90"/>
      <c r="Y259" s="90"/>
      <c r="Z259" s="90"/>
    </row>
    <row r="260" spans="1:26" ht="15.75" customHeight="1">
      <c r="A260" s="90"/>
      <c r="B260" s="90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  <c r="W260" s="90"/>
      <c r="X260" s="90"/>
      <c r="Y260" s="90"/>
      <c r="Z260" s="90"/>
    </row>
    <row r="261" spans="1:26" ht="15.75" customHeight="1">
      <c r="A261" s="90"/>
      <c r="B261" s="90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  <c r="W261" s="90"/>
      <c r="X261" s="90"/>
      <c r="Y261" s="90"/>
      <c r="Z261" s="90"/>
    </row>
    <row r="262" spans="1:26" ht="15.75" customHeight="1">
      <c r="A262" s="90"/>
      <c r="B262" s="90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  <c r="W262" s="90"/>
      <c r="X262" s="90"/>
      <c r="Y262" s="90"/>
      <c r="Z262" s="90"/>
    </row>
    <row r="263" spans="1:26" ht="15.75" customHeight="1">
      <c r="A263" s="90"/>
      <c r="B263" s="90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  <c r="W263" s="90"/>
      <c r="X263" s="90"/>
      <c r="Y263" s="90"/>
      <c r="Z263" s="90"/>
    </row>
    <row r="264" spans="1:26" ht="15.75" customHeight="1">
      <c r="A264" s="90"/>
      <c r="B264" s="90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  <c r="W264" s="90"/>
      <c r="X264" s="90"/>
      <c r="Y264" s="90"/>
      <c r="Z264" s="90"/>
    </row>
    <row r="265" spans="1:26" ht="15.75" customHeight="1">
      <c r="A265" s="90"/>
      <c r="B265" s="90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  <c r="W265" s="90"/>
      <c r="X265" s="90"/>
      <c r="Y265" s="90"/>
      <c r="Z265" s="90"/>
    </row>
    <row r="266" spans="1:26" ht="15.75" customHeight="1">
      <c r="A266" s="90"/>
      <c r="B266" s="90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  <c r="W266" s="90"/>
      <c r="X266" s="90"/>
      <c r="Y266" s="90"/>
      <c r="Z266" s="90"/>
    </row>
    <row r="267" spans="1:26" ht="15.75" customHeight="1">
      <c r="A267" s="90"/>
      <c r="B267" s="90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  <c r="W267" s="90"/>
      <c r="X267" s="90"/>
      <c r="Y267" s="90"/>
      <c r="Z267" s="90"/>
    </row>
    <row r="268" spans="1:26" ht="15.75" customHeight="1">
      <c r="A268" s="90"/>
      <c r="B268" s="90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  <c r="W268" s="90"/>
      <c r="X268" s="90"/>
      <c r="Y268" s="90"/>
      <c r="Z268" s="90"/>
    </row>
    <row r="269" spans="1:26" ht="15.75" customHeight="1">
      <c r="A269" s="90"/>
      <c r="B269" s="90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  <c r="W269" s="90"/>
      <c r="X269" s="90"/>
      <c r="Y269" s="90"/>
      <c r="Z269" s="90"/>
    </row>
    <row r="270" spans="1:26" ht="15.75" customHeight="1">
      <c r="A270" s="90"/>
      <c r="B270" s="90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  <c r="W270" s="90"/>
      <c r="X270" s="90"/>
      <c r="Y270" s="90"/>
      <c r="Z270" s="90"/>
    </row>
    <row r="271" spans="1:26" ht="15.75" customHeight="1">
      <c r="A271" s="90"/>
      <c r="B271" s="90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  <c r="W271" s="90"/>
      <c r="X271" s="90"/>
      <c r="Y271" s="90"/>
      <c r="Z271" s="90"/>
    </row>
    <row r="272" spans="1:26" ht="15.75" customHeight="1">
      <c r="A272" s="90"/>
      <c r="B272" s="90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  <c r="W272" s="90"/>
      <c r="X272" s="90"/>
      <c r="Y272" s="90"/>
      <c r="Z272" s="90"/>
    </row>
    <row r="273" spans="1:26" ht="15.75" customHeight="1">
      <c r="A273" s="90"/>
      <c r="B273" s="90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  <c r="W273" s="90"/>
      <c r="X273" s="90"/>
      <c r="Y273" s="90"/>
      <c r="Z273" s="90"/>
    </row>
    <row r="274" spans="1:26" ht="15.75" customHeight="1">
      <c r="A274" s="90"/>
      <c r="B274" s="90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  <c r="W274" s="90"/>
      <c r="X274" s="90"/>
      <c r="Y274" s="90"/>
      <c r="Z274" s="90"/>
    </row>
    <row r="275" spans="1:26" ht="15.75" customHeight="1">
      <c r="A275" s="90"/>
      <c r="B275" s="90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  <c r="W275" s="90"/>
      <c r="X275" s="90"/>
      <c r="Y275" s="90"/>
      <c r="Z275" s="90"/>
    </row>
    <row r="276" spans="1:26" ht="15.75" customHeight="1">
      <c r="A276" s="90"/>
      <c r="B276" s="90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  <c r="W276" s="90"/>
      <c r="X276" s="90"/>
      <c r="Y276" s="90"/>
      <c r="Z276" s="90"/>
    </row>
    <row r="277" spans="1:26" ht="15.75" customHeight="1">
      <c r="A277" s="90"/>
      <c r="B277" s="90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  <c r="W277" s="90"/>
      <c r="X277" s="90"/>
      <c r="Y277" s="90"/>
      <c r="Z277" s="90"/>
    </row>
    <row r="278" spans="1:26" ht="15.75" customHeight="1">
      <c r="A278" s="90"/>
      <c r="B278" s="90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  <c r="W278" s="90"/>
      <c r="X278" s="90"/>
      <c r="Y278" s="90"/>
      <c r="Z278" s="90"/>
    </row>
    <row r="279" spans="1:26" ht="15.75" customHeight="1">
      <c r="A279" s="90"/>
      <c r="B279" s="90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  <c r="W279" s="90"/>
      <c r="X279" s="90"/>
      <c r="Y279" s="90"/>
      <c r="Z279" s="90"/>
    </row>
    <row r="280" spans="1:26" ht="15.75" customHeight="1">
      <c r="A280" s="90"/>
      <c r="B280" s="90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  <c r="W280" s="90"/>
      <c r="X280" s="90"/>
      <c r="Y280" s="90"/>
      <c r="Z280" s="90"/>
    </row>
    <row r="281" spans="1:26" ht="15.75" customHeight="1">
      <c r="A281" s="90"/>
      <c r="B281" s="90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  <c r="W281" s="90"/>
      <c r="X281" s="90"/>
      <c r="Y281" s="90"/>
      <c r="Z281" s="90"/>
    </row>
    <row r="282" spans="1:26" ht="15.75" customHeight="1">
      <c r="A282" s="90"/>
      <c r="B282" s="90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  <c r="W282" s="90"/>
      <c r="X282" s="90"/>
      <c r="Y282" s="90"/>
      <c r="Z282" s="90"/>
    </row>
    <row r="283" spans="1:26" ht="15.75" customHeight="1">
      <c r="A283" s="90"/>
      <c r="B283" s="90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  <c r="W283" s="90"/>
      <c r="X283" s="90"/>
      <c r="Y283" s="90"/>
      <c r="Z283" s="90"/>
    </row>
    <row r="284" spans="1:26" ht="15.75" customHeight="1">
      <c r="A284" s="90"/>
      <c r="B284" s="90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  <c r="W284" s="90"/>
      <c r="X284" s="90"/>
      <c r="Y284" s="90"/>
      <c r="Z284" s="90"/>
    </row>
    <row r="285" spans="1:26" ht="15.75" customHeight="1">
      <c r="A285" s="90"/>
      <c r="B285" s="90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  <c r="W285" s="90"/>
      <c r="X285" s="90"/>
      <c r="Y285" s="90"/>
      <c r="Z285" s="90"/>
    </row>
    <row r="286" spans="1:26" ht="15.75" customHeight="1">
      <c r="A286" s="90"/>
      <c r="B286" s="90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  <c r="W286" s="90"/>
      <c r="X286" s="90"/>
      <c r="Y286" s="90"/>
      <c r="Z286" s="90"/>
    </row>
    <row r="287" spans="1:26" ht="15.75" customHeight="1">
      <c r="A287" s="90"/>
      <c r="B287" s="90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  <c r="W287" s="90"/>
      <c r="X287" s="90"/>
      <c r="Y287" s="90"/>
      <c r="Z287" s="90"/>
    </row>
    <row r="288" spans="1:26" ht="15.75" customHeight="1">
      <c r="A288" s="90"/>
      <c r="B288" s="90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  <c r="W288" s="90"/>
      <c r="X288" s="90"/>
      <c r="Y288" s="90"/>
      <c r="Z288" s="90"/>
    </row>
    <row r="289" spans="1:26" ht="15.75" customHeight="1">
      <c r="A289" s="90"/>
      <c r="B289" s="90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  <c r="W289" s="90"/>
      <c r="X289" s="90"/>
      <c r="Y289" s="90"/>
      <c r="Z289" s="90"/>
    </row>
    <row r="290" spans="1:26" ht="15.75" customHeight="1">
      <c r="A290" s="90"/>
      <c r="B290" s="90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  <c r="W290" s="90"/>
      <c r="X290" s="90"/>
      <c r="Y290" s="90"/>
      <c r="Z290" s="90"/>
    </row>
    <row r="291" spans="1:26" ht="15.75" customHeight="1">
      <c r="A291" s="90"/>
      <c r="B291" s="90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  <c r="W291" s="90"/>
      <c r="X291" s="90"/>
      <c r="Y291" s="90"/>
      <c r="Z291" s="90"/>
    </row>
    <row r="292" spans="1:26" ht="15.75" customHeight="1">
      <c r="A292" s="90"/>
      <c r="B292" s="90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  <c r="W292" s="90"/>
      <c r="X292" s="90"/>
      <c r="Y292" s="90"/>
      <c r="Z292" s="90"/>
    </row>
    <row r="293" spans="1:26" ht="15.75" customHeight="1">
      <c r="A293" s="90"/>
      <c r="B293" s="90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  <c r="W293" s="90"/>
      <c r="X293" s="90"/>
      <c r="Y293" s="90"/>
      <c r="Z293" s="90"/>
    </row>
    <row r="294" spans="1:26" ht="15.75" customHeight="1">
      <c r="A294" s="90"/>
      <c r="B294" s="90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  <c r="W294" s="90"/>
      <c r="X294" s="90"/>
      <c r="Y294" s="90"/>
      <c r="Z294" s="90"/>
    </row>
    <row r="295" spans="1:26" ht="15.75" customHeight="1">
      <c r="A295" s="90"/>
      <c r="B295" s="90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  <c r="W295" s="90"/>
      <c r="X295" s="90"/>
      <c r="Y295" s="90"/>
      <c r="Z295" s="90"/>
    </row>
    <row r="296" spans="1:26" ht="15.75" customHeight="1">
      <c r="A296" s="90"/>
      <c r="B296" s="90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</row>
    <row r="297" spans="1:26" ht="15.75" customHeight="1">
      <c r="A297" s="90"/>
      <c r="B297" s="90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  <c r="W297" s="90"/>
      <c r="X297" s="90"/>
      <c r="Y297" s="90"/>
      <c r="Z297" s="90"/>
    </row>
    <row r="298" spans="1:26" ht="15.75" customHeight="1">
      <c r="A298" s="90"/>
      <c r="B298" s="90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  <c r="W298" s="90"/>
      <c r="X298" s="90"/>
      <c r="Y298" s="90"/>
      <c r="Z298" s="90"/>
    </row>
    <row r="299" spans="1:26" ht="15.75" customHeight="1">
      <c r="A299" s="90"/>
      <c r="B299" s="90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  <c r="W299" s="90"/>
      <c r="X299" s="90"/>
      <c r="Y299" s="90"/>
      <c r="Z299" s="90"/>
    </row>
    <row r="300" spans="1:26" ht="15.75" customHeight="1">
      <c r="A300" s="90"/>
      <c r="B300" s="90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  <c r="W300" s="90"/>
      <c r="X300" s="90"/>
      <c r="Y300" s="90"/>
      <c r="Z300" s="90"/>
    </row>
    <row r="301" spans="1:26" ht="15.75" customHeight="1">
      <c r="A301" s="90"/>
      <c r="B301" s="90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  <c r="W301" s="90"/>
      <c r="X301" s="90"/>
      <c r="Y301" s="90"/>
      <c r="Z301" s="90"/>
    </row>
    <row r="302" spans="1:26" ht="15.75" customHeight="1">
      <c r="A302" s="90"/>
      <c r="B302" s="90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  <c r="W302" s="90"/>
      <c r="X302" s="90"/>
      <c r="Y302" s="90"/>
      <c r="Z302" s="90"/>
    </row>
    <row r="303" spans="1:26" ht="15.75" customHeight="1">
      <c r="A303" s="90"/>
      <c r="B303" s="90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  <c r="W303" s="90"/>
      <c r="X303" s="90"/>
      <c r="Y303" s="90"/>
      <c r="Z303" s="90"/>
    </row>
    <row r="304" spans="1:26" ht="15.75" customHeight="1">
      <c r="A304" s="90"/>
      <c r="B304" s="90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  <c r="W304" s="90"/>
      <c r="X304" s="90"/>
      <c r="Y304" s="90"/>
      <c r="Z304" s="90"/>
    </row>
    <row r="305" spans="1:26" ht="15.75" customHeight="1">
      <c r="A305" s="90"/>
      <c r="B305" s="90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  <c r="W305" s="90"/>
      <c r="X305" s="90"/>
      <c r="Y305" s="90"/>
      <c r="Z305" s="90"/>
    </row>
    <row r="306" spans="1:26" ht="15.75" customHeight="1">
      <c r="A306" s="90"/>
      <c r="B306" s="90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  <c r="W306" s="90"/>
      <c r="X306" s="90"/>
      <c r="Y306" s="90"/>
      <c r="Z306" s="90"/>
    </row>
    <row r="307" spans="1:26" ht="15.75" customHeight="1">
      <c r="A307" s="90"/>
      <c r="B307" s="90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  <c r="W307" s="90"/>
      <c r="X307" s="90"/>
      <c r="Y307" s="90"/>
      <c r="Z307" s="90"/>
    </row>
    <row r="308" spans="1:26" ht="15.75" customHeight="1">
      <c r="A308" s="90"/>
      <c r="B308" s="90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  <c r="W308" s="90"/>
      <c r="X308" s="90"/>
      <c r="Y308" s="90"/>
      <c r="Z308" s="90"/>
    </row>
    <row r="309" spans="1:26" ht="15.75" customHeight="1">
      <c r="A309" s="90"/>
      <c r="B309" s="90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  <c r="W309" s="90"/>
      <c r="X309" s="90"/>
      <c r="Y309" s="90"/>
      <c r="Z309" s="90"/>
    </row>
    <row r="310" spans="1:26" ht="15.75" customHeight="1">
      <c r="A310" s="90"/>
      <c r="B310" s="90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  <c r="W310" s="90"/>
      <c r="X310" s="90"/>
      <c r="Y310" s="90"/>
      <c r="Z310" s="90"/>
    </row>
    <row r="311" spans="1:26" ht="15.75" customHeight="1">
      <c r="A311" s="90"/>
      <c r="B311" s="90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  <c r="W311" s="90"/>
      <c r="X311" s="90"/>
      <c r="Y311" s="90"/>
      <c r="Z311" s="90"/>
    </row>
    <row r="312" spans="1:26" ht="15.75" customHeight="1">
      <c r="A312" s="90"/>
      <c r="B312" s="90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  <c r="W312" s="90"/>
      <c r="X312" s="90"/>
      <c r="Y312" s="90"/>
      <c r="Z312" s="90"/>
    </row>
    <row r="313" spans="1:26" ht="15.75" customHeight="1">
      <c r="A313" s="90"/>
      <c r="B313" s="90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  <c r="W313" s="90"/>
      <c r="X313" s="90"/>
      <c r="Y313" s="90"/>
      <c r="Z313" s="90"/>
    </row>
    <row r="314" spans="1:26" ht="15.75" customHeight="1">
      <c r="A314" s="90"/>
      <c r="B314" s="90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  <c r="W314" s="90"/>
      <c r="X314" s="90"/>
      <c r="Y314" s="90"/>
      <c r="Z314" s="90"/>
    </row>
    <row r="315" spans="1:26" ht="15.75" customHeight="1">
      <c r="A315" s="90"/>
      <c r="B315" s="90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  <c r="W315" s="90"/>
      <c r="X315" s="90"/>
      <c r="Y315" s="90"/>
      <c r="Z315" s="90"/>
    </row>
    <row r="316" spans="1:26" ht="15.75" customHeight="1">
      <c r="A316" s="90"/>
      <c r="B316" s="90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  <c r="W316" s="90"/>
      <c r="X316" s="90"/>
      <c r="Y316" s="90"/>
      <c r="Z316" s="90"/>
    </row>
    <row r="317" spans="1:26" ht="15.75" customHeight="1">
      <c r="A317" s="90"/>
      <c r="B317" s="90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  <c r="W317" s="90"/>
      <c r="X317" s="90"/>
      <c r="Y317" s="90"/>
      <c r="Z317" s="90"/>
    </row>
    <row r="318" spans="1:26" ht="15.75" customHeight="1">
      <c r="A318" s="90"/>
      <c r="B318" s="90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  <c r="W318" s="90"/>
      <c r="X318" s="90"/>
      <c r="Y318" s="90"/>
      <c r="Z318" s="90"/>
    </row>
    <row r="319" spans="1:26" ht="15.75" customHeight="1">
      <c r="A319" s="90"/>
      <c r="B319" s="90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  <c r="W319" s="90"/>
      <c r="X319" s="90"/>
      <c r="Y319" s="90"/>
      <c r="Z319" s="90"/>
    </row>
    <row r="320" spans="1:26" ht="15.75" customHeight="1">
      <c r="A320" s="90"/>
      <c r="B320" s="90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  <c r="W320" s="90"/>
      <c r="X320" s="90"/>
      <c r="Y320" s="90"/>
      <c r="Z320" s="90"/>
    </row>
    <row r="321" spans="1:26" ht="15.75" customHeight="1">
      <c r="A321" s="90"/>
      <c r="B321" s="90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  <c r="W321" s="90"/>
      <c r="X321" s="90"/>
      <c r="Y321" s="90"/>
      <c r="Z321" s="90"/>
    </row>
    <row r="322" spans="1:26" ht="15.75" customHeight="1">
      <c r="A322" s="90"/>
      <c r="B322" s="90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  <c r="W322" s="90"/>
      <c r="X322" s="90"/>
      <c r="Y322" s="90"/>
      <c r="Z322" s="90"/>
    </row>
    <row r="323" spans="1:26" ht="15.75" customHeight="1">
      <c r="A323" s="90"/>
      <c r="B323" s="90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  <c r="W323" s="90"/>
      <c r="X323" s="90"/>
      <c r="Y323" s="90"/>
      <c r="Z323" s="90"/>
    </row>
    <row r="324" spans="1:26" ht="15.75" customHeight="1">
      <c r="A324" s="90"/>
      <c r="B324" s="90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  <c r="W324" s="90"/>
      <c r="X324" s="90"/>
      <c r="Y324" s="90"/>
      <c r="Z324" s="90"/>
    </row>
    <row r="325" spans="1:26" ht="15.75" customHeight="1">
      <c r="A325" s="90"/>
      <c r="B325" s="90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  <c r="W325" s="90"/>
      <c r="X325" s="90"/>
      <c r="Y325" s="90"/>
      <c r="Z325" s="90"/>
    </row>
    <row r="326" spans="1:26" ht="15.75" customHeight="1">
      <c r="A326" s="90"/>
      <c r="B326" s="90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  <c r="W326" s="90"/>
      <c r="X326" s="90"/>
      <c r="Y326" s="90"/>
      <c r="Z326" s="90"/>
    </row>
    <row r="327" spans="1:26" ht="15.75" customHeight="1">
      <c r="A327" s="90"/>
      <c r="B327" s="90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  <c r="W327" s="90"/>
      <c r="X327" s="90"/>
      <c r="Y327" s="90"/>
      <c r="Z327" s="90"/>
    </row>
    <row r="328" spans="1:26" ht="15.75" customHeight="1">
      <c r="A328" s="90"/>
      <c r="B328" s="90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  <c r="W328" s="90"/>
      <c r="X328" s="90"/>
      <c r="Y328" s="90"/>
      <c r="Z328" s="90"/>
    </row>
    <row r="329" spans="1:26" ht="15.75" customHeight="1">
      <c r="A329" s="90"/>
      <c r="B329" s="90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  <c r="W329" s="90"/>
      <c r="X329" s="90"/>
      <c r="Y329" s="90"/>
      <c r="Z329" s="90"/>
    </row>
    <row r="330" spans="1:26" ht="15.75" customHeight="1">
      <c r="A330" s="90"/>
      <c r="B330" s="90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  <c r="W330" s="90"/>
      <c r="X330" s="90"/>
      <c r="Y330" s="90"/>
      <c r="Z330" s="90"/>
    </row>
    <row r="331" spans="1:26" ht="15.75" customHeight="1">
      <c r="A331" s="90"/>
      <c r="B331" s="90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  <c r="W331" s="90"/>
      <c r="X331" s="90"/>
      <c r="Y331" s="90"/>
      <c r="Z331" s="90"/>
    </row>
    <row r="332" spans="1:26" ht="15.75" customHeight="1">
      <c r="A332" s="90"/>
      <c r="B332" s="90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  <c r="W332" s="90"/>
      <c r="X332" s="90"/>
      <c r="Y332" s="90"/>
      <c r="Z332" s="90"/>
    </row>
    <row r="333" spans="1:26" ht="15.75" customHeight="1">
      <c r="A333" s="90"/>
      <c r="B333" s="90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  <c r="W333" s="90"/>
      <c r="X333" s="90"/>
      <c r="Y333" s="90"/>
      <c r="Z333" s="90"/>
    </row>
    <row r="334" spans="1:26" ht="15.75" customHeight="1">
      <c r="A334" s="90"/>
      <c r="B334" s="90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  <c r="W334" s="90"/>
      <c r="X334" s="90"/>
      <c r="Y334" s="90"/>
      <c r="Z334" s="90"/>
    </row>
    <row r="335" spans="1:26" ht="15.75" customHeight="1">
      <c r="A335" s="90"/>
      <c r="B335" s="90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  <c r="W335" s="90"/>
      <c r="X335" s="90"/>
      <c r="Y335" s="90"/>
      <c r="Z335" s="90"/>
    </row>
    <row r="336" spans="1:26" ht="15.75" customHeight="1">
      <c r="A336" s="90"/>
      <c r="B336" s="90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  <c r="W336" s="90"/>
      <c r="X336" s="90"/>
      <c r="Y336" s="90"/>
      <c r="Z336" s="90"/>
    </row>
    <row r="337" spans="1:26" ht="15.75" customHeight="1">
      <c r="A337" s="90"/>
      <c r="B337" s="90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  <c r="W337" s="90"/>
      <c r="X337" s="90"/>
      <c r="Y337" s="90"/>
      <c r="Z337" s="90"/>
    </row>
    <row r="338" spans="1:26" ht="15.75" customHeight="1">
      <c r="A338" s="90"/>
      <c r="B338" s="90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  <c r="W338" s="90"/>
      <c r="X338" s="90"/>
      <c r="Y338" s="90"/>
      <c r="Z338" s="90"/>
    </row>
    <row r="339" spans="1:26" ht="15.75" customHeight="1">
      <c r="A339" s="90"/>
      <c r="B339" s="90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  <c r="W339" s="90"/>
      <c r="X339" s="90"/>
      <c r="Y339" s="90"/>
      <c r="Z339" s="90"/>
    </row>
    <row r="340" spans="1:26" ht="15.75" customHeight="1">
      <c r="A340" s="90"/>
      <c r="B340" s="90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  <c r="W340" s="90"/>
      <c r="X340" s="90"/>
      <c r="Y340" s="90"/>
      <c r="Z340" s="90"/>
    </row>
    <row r="341" spans="1:26" ht="15.75" customHeight="1">
      <c r="A341" s="90"/>
      <c r="B341" s="90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  <c r="W341" s="90"/>
      <c r="X341" s="90"/>
      <c r="Y341" s="90"/>
      <c r="Z341" s="90"/>
    </row>
    <row r="342" spans="1:26" ht="15.75" customHeight="1">
      <c r="A342" s="90"/>
      <c r="B342" s="90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  <c r="W342" s="90"/>
      <c r="X342" s="90"/>
      <c r="Y342" s="90"/>
      <c r="Z342" s="90"/>
    </row>
    <row r="343" spans="1:26" ht="15.75" customHeight="1">
      <c r="A343" s="90"/>
      <c r="B343" s="90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  <c r="W343" s="90"/>
      <c r="X343" s="90"/>
      <c r="Y343" s="90"/>
      <c r="Z343" s="90"/>
    </row>
    <row r="344" spans="1:26" ht="15.75" customHeight="1">
      <c r="A344" s="90"/>
      <c r="B344" s="90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  <c r="W344" s="90"/>
      <c r="X344" s="90"/>
      <c r="Y344" s="90"/>
      <c r="Z344" s="90"/>
    </row>
    <row r="345" spans="1:26" ht="15.75" customHeight="1">
      <c r="A345" s="90"/>
      <c r="B345" s="90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  <c r="W345" s="90"/>
      <c r="X345" s="90"/>
      <c r="Y345" s="90"/>
      <c r="Z345" s="90"/>
    </row>
    <row r="346" spans="1:26" ht="15.75" customHeight="1">
      <c r="A346" s="90"/>
      <c r="B346" s="90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  <c r="W346" s="90"/>
      <c r="X346" s="90"/>
      <c r="Y346" s="90"/>
      <c r="Z346" s="90"/>
    </row>
    <row r="347" spans="1:26" ht="15.75" customHeight="1">
      <c r="A347" s="90"/>
      <c r="B347" s="90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  <c r="W347" s="90"/>
      <c r="X347" s="90"/>
      <c r="Y347" s="90"/>
      <c r="Z347" s="90"/>
    </row>
    <row r="348" spans="1:26" ht="15.75" customHeight="1">
      <c r="A348" s="90"/>
      <c r="B348" s="90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  <c r="W348" s="90"/>
      <c r="X348" s="90"/>
      <c r="Y348" s="90"/>
      <c r="Z348" s="90"/>
    </row>
    <row r="349" spans="1:26" ht="15.75" customHeight="1">
      <c r="A349" s="90"/>
      <c r="B349" s="90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  <c r="W349" s="90"/>
      <c r="X349" s="90"/>
      <c r="Y349" s="90"/>
      <c r="Z349" s="90"/>
    </row>
    <row r="350" spans="1:26" ht="15.75" customHeight="1">
      <c r="A350" s="90"/>
      <c r="B350" s="90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  <c r="W350" s="90"/>
      <c r="X350" s="90"/>
      <c r="Y350" s="90"/>
      <c r="Z350" s="90"/>
    </row>
    <row r="351" spans="1:26" ht="15.75" customHeight="1">
      <c r="A351" s="90"/>
      <c r="B351" s="90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  <c r="W351" s="90"/>
      <c r="X351" s="90"/>
      <c r="Y351" s="90"/>
      <c r="Z351" s="90"/>
    </row>
    <row r="352" spans="1:26" ht="15.75" customHeight="1">
      <c r="A352" s="90"/>
      <c r="B352" s="90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  <c r="W352" s="90"/>
      <c r="X352" s="90"/>
      <c r="Y352" s="90"/>
      <c r="Z352" s="90"/>
    </row>
    <row r="353" spans="1:26" ht="15.75" customHeight="1">
      <c r="A353" s="90"/>
      <c r="B353" s="90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  <c r="W353" s="90"/>
      <c r="X353" s="90"/>
      <c r="Y353" s="90"/>
      <c r="Z353" s="90"/>
    </row>
    <row r="354" spans="1:26" ht="15.75" customHeight="1">
      <c r="A354" s="90"/>
      <c r="B354" s="90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  <c r="W354" s="90"/>
      <c r="X354" s="90"/>
      <c r="Y354" s="90"/>
      <c r="Z354" s="90"/>
    </row>
    <row r="355" spans="1:26" ht="15.75" customHeight="1">
      <c r="A355" s="90"/>
      <c r="B355" s="90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  <c r="W355" s="90"/>
      <c r="X355" s="90"/>
      <c r="Y355" s="90"/>
      <c r="Z355" s="90"/>
    </row>
    <row r="356" spans="1:26" ht="15.75" customHeight="1">
      <c r="A356" s="90"/>
      <c r="B356" s="90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  <c r="W356" s="90"/>
      <c r="X356" s="90"/>
      <c r="Y356" s="90"/>
      <c r="Z356" s="90"/>
    </row>
    <row r="357" spans="1:26" ht="15.75" customHeight="1">
      <c r="A357" s="90"/>
      <c r="B357" s="90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  <c r="W357" s="90"/>
      <c r="X357" s="90"/>
      <c r="Y357" s="90"/>
      <c r="Z357" s="90"/>
    </row>
    <row r="358" spans="1:26" ht="15.75" customHeight="1">
      <c r="A358" s="90"/>
      <c r="B358" s="90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  <c r="W358" s="90"/>
      <c r="X358" s="90"/>
      <c r="Y358" s="90"/>
      <c r="Z358" s="90"/>
    </row>
    <row r="359" spans="1:26" ht="15.75" customHeight="1">
      <c r="A359" s="90"/>
      <c r="B359" s="90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  <c r="W359" s="90"/>
      <c r="X359" s="90"/>
      <c r="Y359" s="90"/>
      <c r="Z359" s="90"/>
    </row>
    <row r="360" spans="1:26" ht="15.75" customHeight="1">
      <c r="A360" s="90"/>
      <c r="B360" s="90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  <c r="W360" s="90"/>
      <c r="X360" s="90"/>
      <c r="Y360" s="90"/>
      <c r="Z360" s="90"/>
    </row>
    <row r="361" spans="1:26" ht="15.75" customHeight="1">
      <c r="A361" s="90"/>
      <c r="B361" s="90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  <c r="W361" s="90"/>
      <c r="X361" s="90"/>
      <c r="Y361" s="90"/>
      <c r="Z361" s="90"/>
    </row>
    <row r="362" spans="1:26" ht="15.75" customHeight="1">
      <c r="A362" s="90"/>
      <c r="B362" s="90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  <c r="W362" s="90"/>
      <c r="X362" s="90"/>
      <c r="Y362" s="90"/>
      <c r="Z362" s="90"/>
    </row>
    <row r="363" spans="1:26" ht="15.75" customHeight="1">
      <c r="A363" s="90"/>
      <c r="B363" s="90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  <c r="W363" s="90"/>
      <c r="X363" s="90"/>
      <c r="Y363" s="90"/>
      <c r="Z363" s="90"/>
    </row>
    <row r="364" spans="1:26" ht="15.75" customHeight="1">
      <c r="A364" s="90"/>
      <c r="B364" s="90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  <c r="W364" s="90"/>
      <c r="X364" s="90"/>
      <c r="Y364" s="90"/>
      <c r="Z364" s="90"/>
    </row>
    <row r="365" spans="1:26" ht="15.75" customHeight="1">
      <c r="A365" s="90"/>
      <c r="B365" s="90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  <c r="W365" s="90"/>
      <c r="X365" s="90"/>
      <c r="Y365" s="90"/>
      <c r="Z365" s="90"/>
    </row>
    <row r="366" spans="1:26" ht="15.75" customHeight="1">
      <c r="A366" s="90"/>
      <c r="B366" s="90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  <c r="W366" s="90"/>
      <c r="X366" s="90"/>
      <c r="Y366" s="90"/>
      <c r="Z366" s="90"/>
    </row>
    <row r="367" spans="1:26" ht="15.75" customHeight="1">
      <c r="A367" s="90"/>
      <c r="B367" s="90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  <c r="W367" s="90"/>
      <c r="X367" s="90"/>
      <c r="Y367" s="90"/>
      <c r="Z367" s="90"/>
    </row>
    <row r="368" spans="1:26" ht="15.75" customHeight="1">
      <c r="A368" s="90"/>
      <c r="B368" s="90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  <c r="W368" s="90"/>
      <c r="X368" s="90"/>
      <c r="Y368" s="90"/>
      <c r="Z368" s="90"/>
    </row>
    <row r="369" spans="1:26" ht="15.75" customHeight="1">
      <c r="A369" s="90"/>
      <c r="B369" s="90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  <c r="W369" s="90"/>
      <c r="X369" s="90"/>
      <c r="Y369" s="90"/>
      <c r="Z369" s="90"/>
    </row>
    <row r="370" spans="1:26" ht="15.75" customHeight="1">
      <c r="A370" s="90"/>
      <c r="B370" s="90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  <c r="W370" s="90"/>
      <c r="X370" s="90"/>
      <c r="Y370" s="90"/>
      <c r="Z370" s="90"/>
    </row>
    <row r="371" spans="1:26" ht="15.75" customHeight="1">
      <c r="A371" s="90"/>
      <c r="B371" s="90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  <c r="W371" s="90"/>
      <c r="X371" s="90"/>
      <c r="Y371" s="90"/>
      <c r="Z371" s="90"/>
    </row>
    <row r="372" spans="1:26" ht="15.75" customHeight="1">
      <c r="A372" s="90"/>
      <c r="B372" s="90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  <c r="W372" s="90"/>
      <c r="X372" s="90"/>
      <c r="Y372" s="90"/>
      <c r="Z372" s="90"/>
    </row>
    <row r="373" spans="1:26" ht="15.75" customHeight="1">
      <c r="A373" s="90"/>
      <c r="B373" s="90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  <c r="W373" s="90"/>
      <c r="X373" s="90"/>
      <c r="Y373" s="90"/>
      <c r="Z373" s="90"/>
    </row>
    <row r="374" spans="1:26" ht="15.75" customHeight="1">
      <c r="A374" s="90"/>
      <c r="B374" s="90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  <c r="W374" s="90"/>
      <c r="X374" s="90"/>
      <c r="Y374" s="90"/>
      <c r="Z374" s="90"/>
    </row>
    <row r="375" spans="1:26" ht="15.75" customHeight="1">
      <c r="A375" s="90"/>
      <c r="B375" s="90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  <c r="W375" s="90"/>
      <c r="X375" s="90"/>
      <c r="Y375" s="90"/>
      <c r="Z375" s="90"/>
    </row>
    <row r="376" spans="1:26" ht="15.75" customHeight="1">
      <c r="A376" s="90"/>
      <c r="B376" s="90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  <c r="W376" s="90"/>
      <c r="X376" s="90"/>
      <c r="Y376" s="90"/>
      <c r="Z376" s="90"/>
    </row>
    <row r="377" spans="1:26" ht="15.75" customHeight="1">
      <c r="A377" s="90"/>
      <c r="B377" s="90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  <c r="W377" s="90"/>
      <c r="X377" s="90"/>
      <c r="Y377" s="90"/>
      <c r="Z377" s="90"/>
    </row>
    <row r="378" spans="1:26" ht="15.75" customHeight="1">
      <c r="A378" s="90"/>
      <c r="B378" s="90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  <c r="W378" s="90"/>
      <c r="X378" s="90"/>
      <c r="Y378" s="90"/>
      <c r="Z378" s="90"/>
    </row>
    <row r="379" spans="1:26" ht="15.75" customHeight="1">
      <c r="A379" s="90"/>
      <c r="B379" s="90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  <c r="W379" s="90"/>
      <c r="X379" s="90"/>
      <c r="Y379" s="90"/>
      <c r="Z379" s="90"/>
    </row>
    <row r="380" spans="1:26" ht="15.75" customHeight="1">
      <c r="A380" s="90"/>
      <c r="B380" s="90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  <c r="W380" s="90"/>
      <c r="X380" s="90"/>
      <c r="Y380" s="90"/>
      <c r="Z380" s="90"/>
    </row>
    <row r="381" spans="1:26" ht="15.75" customHeight="1">
      <c r="A381" s="90"/>
      <c r="B381" s="90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  <c r="W381" s="90"/>
      <c r="X381" s="90"/>
      <c r="Y381" s="90"/>
      <c r="Z381" s="90"/>
    </row>
    <row r="382" spans="1:26" ht="15.75" customHeight="1">
      <c r="A382" s="90"/>
      <c r="B382" s="90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  <c r="W382" s="90"/>
      <c r="X382" s="90"/>
      <c r="Y382" s="90"/>
      <c r="Z382" s="90"/>
    </row>
    <row r="383" spans="1:26" ht="15.75" customHeight="1">
      <c r="A383" s="90"/>
      <c r="B383" s="90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  <c r="W383" s="90"/>
      <c r="X383" s="90"/>
      <c r="Y383" s="90"/>
      <c r="Z383" s="90"/>
    </row>
    <row r="384" spans="1:26" ht="15.75" customHeight="1">
      <c r="A384" s="90"/>
      <c r="B384" s="90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  <c r="W384" s="90"/>
      <c r="X384" s="90"/>
      <c r="Y384" s="90"/>
      <c r="Z384" s="90"/>
    </row>
    <row r="385" spans="1:26" ht="15.75" customHeight="1">
      <c r="A385" s="90"/>
      <c r="B385" s="90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  <c r="W385" s="90"/>
      <c r="X385" s="90"/>
      <c r="Y385" s="90"/>
      <c r="Z385" s="90"/>
    </row>
    <row r="386" spans="1:26" ht="15.75" customHeight="1">
      <c r="A386" s="90"/>
      <c r="B386" s="90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  <c r="W386" s="90"/>
      <c r="X386" s="90"/>
      <c r="Y386" s="90"/>
      <c r="Z386" s="90"/>
    </row>
    <row r="387" spans="1:26" ht="15.75" customHeight="1">
      <c r="A387" s="90"/>
      <c r="B387" s="90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  <c r="W387" s="90"/>
      <c r="X387" s="90"/>
      <c r="Y387" s="90"/>
      <c r="Z387" s="90"/>
    </row>
    <row r="388" spans="1:26" ht="15.75" customHeight="1">
      <c r="A388" s="90"/>
      <c r="B388" s="90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  <c r="W388" s="90"/>
      <c r="X388" s="90"/>
      <c r="Y388" s="90"/>
      <c r="Z388" s="90"/>
    </row>
    <row r="389" spans="1:26" ht="15.75" customHeight="1">
      <c r="A389" s="90"/>
      <c r="B389" s="90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  <c r="W389" s="90"/>
      <c r="X389" s="90"/>
      <c r="Y389" s="90"/>
      <c r="Z389" s="90"/>
    </row>
    <row r="390" spans="1:26" ht="15.75" customHeight="1">
      <c r="A390" s="90"/>
      <c r="B390" s="90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  <c r="W390" s="90"/>
      <c r="X390" s="90"/>
      <c r="Y390" s="90"/>
      <c r="Z390" s="90"/>
    </row>
    <row r="391" spans="1:26" ht="15.75" customHeight="1">
      <c r="A391" s="90"/>
      <c r="B391" s="90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  <c r="W391" s="90"/>
      <c r="X391" s="90"/>
      <c r="Y391" s="90"/>
      <c r="Z391" s="90"/>
    </row>
    <row r="392" spans="1:26" ht="15.75" customHeight="1">
      <c r="A392" s="90"/>
      <c r="B392" s="90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  <c r="W392" s="90"/>
      <c r="X392" s="90"/>
      <c r="Y392" s="90"/>
      <c r="Z392" s="90"/>
    </row>
    <row r="393" spans="1:26" ht="15.75" customHeight="1">
      <c r="A393" s="90"/>
      <c r="B393" s="90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  <c r="W393" s="90"/>
      <c r="X393" s="90"/>
      <c r="Y393" s="90"/>
      <c r="Z393" s="90"/>
    </row>
    <row r="394" spans="1:26" ht="15.75" customHeight="1">
      <c r="A394" s="90"/>
      <c r="B394" s="90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  <c r="W394" s="90"/>
      <c r="X394" s="90"/>
      <c r="Y394" s="90"/>
      <c r="Z394" s="90"/>
    </row>
    <row r="395" spans="1:26" ht="15.75" customHeight="1">
      <c r="A395" s="90"/>
      <c r="B395" s="90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  <c r="W395" s="90"/>
      <c r="X395" s="90"/>
      <c r="Y395" s="90"/>
      <c r="Z395" s="90"/>
    </row>
    <row r="396" spans="1:26" ht="15.75" customHeight="1">
      <c r="A396" s="90"/>
      <c r="B396" s="90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  <c r="W396" s="90"/>
      <c r="X396" s="90"/>
      <c r="Y396" s="90"/>
      <c r="Z396" s="90"/>
    </row>
    <row r="397" spans="1:26" ht="15.75" customHeight="1">
      <c r="A397" s="90"/>
      <c r="B397" s="90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  <c r="W397" s="90"/>
      <c r="X397" s="90"/>
      <c r="Y397" s="90"/>
      <c r="Z397" s="90"/>
    </row>
    <row r="398" spans="1:26" ht="15.75" customHeight="1">
      <c r="A398" s="90"/>
      <c r="B398" s="90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  <c r="W398" s="90"/>
      <c r="X398" s="90"/>
      <c r="Y398" s="90"/>
      <c r="Z398" s="90"/>
    </row>
    <row r="399" spans="1:26" ht="15.75" customHeight="1">
      <c r="A399" s="90"/>
      <c r="B399" s="90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  <c r="W399" s="90"/>
      <c r="X399" s="90"/>
      <c r="Y399" s="90"/>
      <c r="Z399" s="90"/>
    </row>
    <row r="400" spans="1:26" ht="15.75" customHeight="1">
      <c r="A400" s="90"/>
      <c r="B400" s="90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  <c r="W400" s="90"/>
      <c r="X400" s="90"/>
      <c r="Y400" s="90"/>
      <c r="Z400" s="90"/>
    </row>
    <row r="401" spans="1:26" ht="15.75" customHeight="1">
      <c r="A401" s="90"/>
      <c r="B401" s="90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  <c r="W401" s="90"/>
      <c r="X401" s="90"/>
      <c r="Y401" s="90"/>
      <c r="Z401" s="90"/>
    </row>
    <row r="402" spans="1:26" ht="15.75" customHeight="1">
      <c r="A402" s="90"/>
      <c r="B402" s="90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  <c r="W402" s="90"/>
      <c r="X402" s="90"/>
      <c r="Y402" s="90"/>
      <c r="Z402" s="90"/>
    </row>
    <row r="403" spans="1:26" ht="15.75" customHeight="1">
      <c r="A403" s="90"/>
      <c r="B403" s="90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  <c r="W403" s="90"/>
      <c r="X403" s="90"/>
      <c r="Y403" s="90"/>
      <c r="Z403" s="90"/>
    </row>
    <row r="404" spans="1:26" ht="15.75" customHeight="1">
      <c r="A404" s="90"/>
      <c r="B404" s="90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  <c r="W404" s="90"/>
      <c r="X404" s="90"/>
      <c r="Y404" s="90"/>
      <c r="Z404" s="90"/>
    </row>
    <row r="405" spans="1:26" ht="15.75" customHeight="1">
      <c r="A405" s="90"/>
      <c r="B405" s="90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  <c r="W405" s="90"/>
      <c r="X405" s="90"/>
      <c r="Y405" s="90"/>
      <c r="Z405" s="90"/>
    </row>
    <row r="406" spans="1:26" ht="15.75" customHeight="1">
      <c r="A406" s="90"/>
      <c r="B406" s="90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  <c r="W406" s="90"/>
      <c r="X406" s="90"/>
      <c r="Y406" s="90"/>
      <c r="Z406" s="90"/>
    </row>
    <row r="407" spans="1:26" ht="15.75" customHeight="1">
      <c r="A407" s="90"/>
      <c r="B407" s="90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  <c r="W407" s="90"/>
      <c r="X407" s="90"/>
      <c r="Y407" s="90"/>
      <c r="Z407" s="90"/>
    </row>
    <row r="408" spans="1:26" ht="15.75" customHeight="1">
      <c r="A408" s="90"/>
      <c r="B408" s="90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  <c r="W408" s="90"/>
      <c r="X408" s="90"/>
      <c r="Y408" s="90"/>
      <c r="Z408" s="90"/>
    </row>
    <row r="409" spans="1:26" ht="15.75" customHeight="1">
      <c r="A409" s="90"/>
      <c r="B409" s="90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  <c r="W409" s="90"/>
      <c r="X409" s="90"/>
      <c r="Y409" s="90"/>
      <c r="Z409" s="90"/>
    </row>
    <row r="410" spans="1:26" ht="15.75" customHeight="1">
      <c r="A410" s="90"/>
      <c r="B410" s="90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  <c r="W410" s="90"/>
      <c r="X410" s="90"/>
      <c r="Y410" s="90"/>
      <c r="Z410" s="90"/>
    </row>
    <row r="411" spans="1:26" ht="15.75" customHeight="1">
      <c r="A411" s="90"/>
      <c r="B411" s="90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  <c r="W411" s="90"/>
      <c r="X411" s="90"/>
      <c r="Y411" s="90"/>
      <c r="Z411" s="90"/>
    </row>
    <row r="412" spans="1:26" ht="15.75" customHeight="1">
      <c r="A412" s="90"/>
      <c r="B412" s="90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  <c r="W412" s="90"/>
      <c r="X412" s="90"/>
      <c r="Y412" s="90"/>
      <c r="Z412" s="90"/>
    </row>
    <row r="413" spans="1:26" ht="15.75" customHeight="1">
      <c r="A413" s="90"/>
      <c r="B413" s="90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  <c r="W413" s="90"/>
      <c r="X413" s="90"/>
      <c r="Y413" s="90"/>
      <c r="Z413" s="90"/>
    </row>
    <row r="414" spans="1:26" ht="15.75" customHeight="1">
      <c r="A414" s="90"/>
      <c r="B414" s="90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  <c r="W414" s="90"/>
      <c r="X414" s="90"/>
      <c r="Y414" s="90"/>
      <c r="Z414" s="90"/>
    </row>
    <row r="415" spans="1:26" ht="15.75" customHeight="1">
      <c r="A415" s="90"/>
      <c r="B415" s="90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  <c r="W415" s="90"/>
      <c r="X415" s="90"/>
      <c r="Y415" s="90"/>
      <c r="Z415" s="90"/>
    </row>
    <row r="416" spans="1:26" ht="15.75" customHeight="1">
      <c r="A416" s="90"/>
      <c r="B416" s="90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  <c r="W416" s="90"/>
      <c r="X416" s="90"/>
      <c r="Y416" s="90"/>
      <c r="Z416" s="90"/>
    </row>
    <row r="417" spans="1:26" ht="15.75" customHeight="1">
      <c r="A417" s="90"/>
      <c r="B417" s="90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  <c r="W417" s="90"/>
      <c r="X417" s="90"/>
      <c r="Y417" s="90"/>
      <c r="Z417" s="90"/>
    </row>
    <row r="418" spans="1:26" ht="15.75" customHeight="1">
      <c r="A418" s="90"/>
      <c r="B418" s="90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  <c r="W418" s="90"/>
      <c r="X418" s="90"/>
      <c r="Y418" s="90"/>
      <c r="Z418" s="90"/>
    </row>
    <row r="419" spans="1:26" ht="15.75" customHeight="1">
      <c r="A419" s="90"/>
      <c r="B419" s="90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  <c r="W419" s="90"/>
      <c r="X419" s="90"/>
      <c r="Y419" s="90"/>
      <c r="Z419" s="90"/>
    </row>
    <row r="420" spans="1:26" ht="15.75" customHeight="1">
      <c r="A420" s="90"/>
      <c r="B420" s="90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  <c r="W420" s="90"/>
      <c r="X420" s="90"/>
      <c r="Y420" s="90"/>
      <c r="Z420" s="90"/>
    </row>
    <row r="421" spans="1:26" ht="15.75" customHeight="1">
      <c r="A421" s="90"/>
      <c r="B421" s="90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  <c r="W421" s="90"/>
      <c r="X421" s="90"/>
      <c r="Y421" s="90"/>
      <c r="Z421" s="90"/>
    </row>
    <row r="422" spans="1:26" ht="15.75" customHeight="1">
      <c r="A422" s="90"/>
      <c r="B422" s="90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  <c r="W422" s="90"/>
      <c r="X422" s="90"/>
      <c r="Y422" s="90"/>
      <c r="Z422" s="90"/>
    </row>
    <row r="423" spans="1:26" ht="15.75" customHeight="1">
      <c r="A423" s="90"/>
      <c r="B423" s="90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  <c r="W423" s="90"/>
      <c r="X423" s="90"/>
      <c r="Y423" s="90"/>
      <c r="Z423" s="90"/>
    </row>
    <row r="424" spans="1:26" ht="15.75" customHeight="1">
      <c r="A424" s="90"/>
      <c r="B424" s="90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  <c r="W424" s="90"/>
      <c r="X424" s="90"/>
      <c r="Y424" s="90"/>
      <c r="Z424" s="90"/>
    </row>
    <row r="425" spans="1:26" ht="15.75" customHeight="1">
      <c r="A425" s="90"/>
      <c r="B425" s="90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  <c r="W425" s="90"/>
      <c r="X425" s="90"/>
      <c r="Y425" s="90"/>
      <c r="Z425" s="90"/>
    </row>
    <row r="426" spans="1:26" ht="15.75" customHeight="1">
      <c r="A426" s="90"/>
      <c r="B426" s="90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  <c r="W426" s="90"/>
      <c r="X426" s="90"/>
      <c r="Y426" s="90"/>
      <c r="Z426" s="90"/>
    </row>
    <row r="427" spans="1:26" ht="15.75" customHeight="1">
      <c r="A427" s="90"/>
      <c r="B427" s="90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  <c r="W427" s="90"/>
      <c r="X427" s="90"/>
      <c r="Y427" s="90"/>
      <c r="Z427" s="90"/>
    </row>
    <row r="428" spans="1:26" ht="15.75" customHeight="1">
      <c r="A428" s="90"/>
      <c r="B428" s="90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  <c r="W428" s="90"/>
      <c r="X428" s="90"/>
      <c r="Y428" s="90"/>
      <c r="Z428" s="90"/>
    </row>
    <row r="429" spans="1:26" ht="15.75" customHeight="1">
      <c r="A429" s="90"/>
      <c r="B429" s="90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  <c r="W429" s="90"/>
      <c r="X429" s="90"/>
      <c r="Y429" s="90"/>
      <c r="Z429" s="90"/>
    </row>
    <row r="430" spans="1:26" ht="15.75" customHeight="1">
      <c r="A430" s="90"/>
      <c r="B430" s="90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  <c r="W430" s="90"/>
      <c r="X430" s="90"/>
      <c r="Y430" s="90"/>
      <c r="Z430" s="90"/>
    </row>
    <row r="431" spans="1:26" ht="15.75" customHeight="1">
      <c r="A431" s="90"/>
      <c r="B431" s="90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  <c r="W431" s="90"/>
      <c r="X431" s="90"/>
      <c r="Y431" s="90"/>
      <c r="Z431" s="90"/>
    </row>
    <row r="432" spans="1:26" ht="15.75" customHeight="1">
      <c r="A432" s="90"/>
      <c r="B432" s="90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  <c r="W432" s="90"/>
      <c r="X432" s="90"/>
      <c r="Y432" s="90"/>
      <c r="Z432" s="90"/>
    </row>
    <row r="433" spans="1:26" ht="15.75" customHeight="1">
      <c r="A433" s="90"/>
      <c r="B433" s="90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  <c r="W433" s="90"/>
      <c r="X433" s="90"/>
      <c r="Y433" s="90"/>
      <c r="Z433" s="90"/>
    </row>
    <row r="434" spans="1:26" ht="15.75" customHeight="1">
      <c r="A434" s="90"/>
      <c r="B434" s="90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  <c r="W434" s="90"/>
      <c r="X434" s="90"/>
      <c r="Y434" s="90"/>
      <c r="Z434" s="90"/>
    </row>
    <row r="435" spans="1:26" ht="15.75" customHeight="1">
      <c r="A435" s="90"/>
      <c r="B435" s="90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  <c r="W435" s="90"/>
      <c r="X435" s="90"/>
      <c r="Y435" s="90"/>
      <c r="Z435" s="90"/>
    </row>
    <row r="436" spans="1:26" ht="15.75" customHeight="1">
      <c r="A436" s="90"/>
      <c r="B436" s="90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  <c r="W436" s="90"/>
      <c r="X436" s="90"/>
      <c r="Y436" s="90"/>
      <c r="Z436" s="90"/>
    </row>
    <row r="437" spans="1:26" ht="15.75" customHeight="1">
      <c r="A437" s="90"/>
      <c r="B437" s="90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  <c r="W437" s="90"/>
      <c r="X437" s="90"/>
      <c r="Y437" s="90"/>
      <c r="Z437" s="90"/>
    </row>
    <row r="438" spans="1:26" ht="15.75" customHeight="1">
      <c r="A438" s="90"/>
      <c r="B438" s="90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  <c r="W438" s="90"/>
      <c r="X438" s="90"/>
      <c r="Y438" s="90"/>
      <c r="Z438" s="90"/>
    </row>
    <row r="439" spans="1:26" ht="15.75" customHeight="1">
      <c r="A439" s="90"/>
      <c r="B439" s="90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  <c r="W439" s="90"/>
      <c r="X439" s="90"/>
      <c r="Y439" s="90"/>
      <c r="Z439" s="90"/>
    </row>
    <row r="440" spans="1:26" ht="15.75" customHeight="1">
      <c r="A440" s="90"/>
      <c r="B440" s="90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  <c r="W440" s="90"/>
      <c r="X440" s="90"/>
      <c r="Y440" s="90"/>
      <c r="Z440" s="90"/>
    </row>
    <row r="441" spans="1:26" ht="15.75" customHeight="1">
      <c r="A441" s="90"/>
      <c r="B441" s="90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  <c r="W441" s="90"/>
      <c r="X441" s="90"/>
      <c r="Y441" s="90"/>
      <c r="Z441" s="90"/>
    </row>
    <row r="442" spans="1:26" ht="15.75" customHeight="1">
      <c r="A442" s="90"/>
      <c r="B442" s="90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  <c r="W442" s="90"/>
      <c r="X442" s="90"/>
      <c r="Y442" s="90"/>
      <c r="Z442" s="90"/>
    </row>
    <row r="443" spans="1:26" ht="15.75" customHeight="1">
      <c r="A443" s="90"/>
      <c r="B443" s="90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  <c r="W443" s="90"/>
      <c r="X443" s="90"/>
      <c r="Y443" s="90"/>
      <c r="Z443" s="90"/>
    </row>
    <row r="444" spans="1:26" ht="15.75" customHeight="1">
      <c r="A444" s="90"/>
      <c r="B444" s="90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  <c r="W444" s="90"/>
      <c r="X444" s="90"/>
      <c r="Y444" s="90"/>
      <c r="Z444" s="90"/>
    </row>
    <row r="445" spans="1:26" ht="15.75" customHeight="1">
      <c r="A445" s="90"/>
      <c r="B445" s="90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  <c r="W445" s="90"/>
      <c r="X445" s="90"/>
      <c r="Y445" s="90"/>
      <c r="Z445" s="90"/>
    </row>
    <row r="446" spans="1:26" ht="15.75" customHeight="1">
      <c r="A446" s="90"/>
      <c r="B446" s="90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  <c r="W446" s="90"/>
      <c r="X446" s="90"/>
      <c r="Y446" s="90"/>
      <c r="Z446" s="90"/>
    </row>
    <row r="447" spans="1:26" ht="15.75" customHeight="1">
      <c r="A447" s="90"/>
      <c r="B447" s="90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  <c r="W447" s="90"/>
      <c r="X447" s="90"/>
      <c r="Y447" s="90"/>
      <c r="Z447" s="90"/>
    </row>
    <row r="448" spans="1:26" ht="15.75" customHeight="1">
      <c r="A448" s="90"/>
      <c r="B448" s="90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  <c r="W448" s="90"/>
      <c r="X448" s="90"/>
      <c r="Y448" s="90"/>
      <c r="Z448" s="90"/>
    </row>
    <row r="449" spans="1:26" ht="15.75" customHeight="1">
      <c r="A449" s="90"/>
      <c r="B449" s="90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  <c r="W449" s="90"/>
      <c r="X449" s="90"/>
      <c r="Y449" s="90"/>
      <c r="Z449" s="90"/>
    </row>
    <row r="450" spans="1:26" ht="15.75" customHeight="1">
      <c r="A450" s="90"/>
      <c r="B450" s="90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  <c r="W450" s="90"/>
      <c r="X450" s="90"/>
      <c r="Y450" s="90"/>
      <c r="Z450" s="90"/>
    </row>
    <row r="451" spans="1:26" ht="15.75" customHeight="1">
      <c r="A451" s="90"/>
      <c r="B451" s="90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  <c r="W451" s="90"/>
      <c r="X451" s="90"/>
      <c r="Y451" s="90"/>
      <c r="Z451" s="90"/>
    </row>
    <row r="452" spans="1:26" ht="15.75" customHeight="1">
      <c r="A452" s="90"/>
      <c r="B452" s="90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  <c r="W452" s="90"/>
      <c r="X452" s="90"/>
      <c r="Y452" s="90"/>
      <c r="Z452" s="90"/>
    </row>
    <row r="453" spans="1:26" ht="15.75" customHeight="1">
      <c r="A453" s="90"/>
      <c r="B453" s="90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  <c r="W453" s="90"/>
      <c r="X453" s="90"/>
      <c r="Y453" s="90"/>
      <c r="Z453" s="90"/>
    </row>
    <row r="454" spans="1:26" ht="15.75" customHeight="1">
      <c r="A454" s="90"/>
      <c r="B454" s="90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  <c r="W454" s="90"/>
      <c r="X454" s="90"/>
      <c r="Y454" s="90"/>
      <c r="Z454" s="90"/>
    </row>
    <row r="455" spans="1:26" ht="15.75" customHeight="1">
      <c r="A455" s="90"/>
      <c r="B455" s="90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  <c r="W455" s="90"/>
      <c r="X455" s="90"/>
      <c r="Y455" s="90"/>
      <c r="Z455" s="90"/>
    </row>
    <row r="456" spans="1:26" ht="15.75" customHeight="1">
      <c r="A456" s="90"/>
      <c r="B456" s="90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  <c r="W456" s="90"/>
      <c r="X456" s="90"/>
      <c r="Y456" s="90"/>
      <c r="Z456" s="90"/>
    </row>
    <row r="457" spans="1:26" ht="15.75" customHeight="1">
      <c r="A457" s="90"/>
      <c r="B457" s="90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  <c r="W457" s="90"/>
      <c r="X457" s="90"/>
      <c r="Y457" s="90"/>
      <c r="Z457" s="90"/>
    </row>
    <row r="458" spans="1:26" ht="15.75" customHeight="1">
      <c r="A458" s="90"/>
      <c r="B458" s="90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  <c r="W458" s="90"/>
      <c r="X458" s="90"/>
      <c r="Y458" s="90"/>
      <c r="Z458" s="90"/>
    </row>
    <row r="459" spans="1:26" ht="15.75" customHeight="1">
      <c r="A459" s="90"/>
      <c r="B459" s="90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  <c r="W459" s="90"/>
      <c r="X459" s="90"/>
      <c r="Y459" s="90"/>
      <c r="Z459" s="90"/>
    </row>
    <row r="460" spans="1:26" ht="15.75" customHeight="1">
      <c r="A460" s="90"/>
      <c r="B460" s="90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  <c r="W460" s="90"/>
      <c r="X460" s="90"/>
      <c r="Y460" s="90"/>
      <c r="Z460" s="90"/>
    </row>
    <row r="461" spans="1:26" ht="15.75" customHeight="1">
      <c r="A461" s="90"/>
      <c r="B461" s="90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  <c r="W461" s="90"/>
      <c r="X461" s="90"/>
      <c r="Y461" s="90"/>
      <c r="Z461" s="90"/>
    </row>
    <row r="462" spans="1:26" ht="15.75" customHeight="1">
      <c r="A462" s="90"/>
      <c r="B462" s="90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  <c r="W462" s="90"/>
      <c r="X462" s="90"/>
      <c r="Y462" s="90"/>
      <c r="Z462" s="90"/>
    </row>
    <row r="463" spans="1:26" ht="15.75" customHeight="1">
      <c r="A463" s="90"/>
      <c r="B463" s="90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  <c r="W463" s="90"/>
      <c r="X463" s="90"/>
      <c r="Y463" s="90"/>
      <c r="Z463" s="90"/>
    </row>
    <row r="464" spans="1:26" ht="15.75" customHeight="1">
      <c r="A464" s="90"/>
      <c r="B464" s="90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  <c r="W464" s="90"/>
      <c r="X464" s="90"/>
      <c r="Y464" s="90"/>
      <c r="Z464" s="90"/>
    </row>
    <row r="465" spans="1:26" ht="15.75" customHeight="1">
      <c r="A465" s="90"/>
      <c r="B465" s="90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  <c r="W465" s="90"/>
      <c r="X465" s="90"/>
      <c r="Y465" s="90"/>
      <c r="Z465" s="90"/>
    </row>
    <row r="466" spans="1:26" ht="15.75" customHeight="1">
      <c r="A466" s="90"/>
      <c r="B466" s="90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  <c r="W466" s="90"/>
      <c r="X466" s="90"/>
      <c r="Y466" s="90"/>
      <c r="Z466" s="90"/>
    </row>
    <row r="467" spans="1:26" ht="15.75" customHeight="1">
      <c r="A467" s="90"/>
      <c r="B467" s="90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  <c r="W467" s="90"/>
      <c r="X467" s="90"/>
      <c r="Y467" s="90"/>
      <c r="Z467" s="90"/>
    </row>
    <row r="468" spans="1:26" ht="15.75" customHeight="1">
      <c r="A468" s="90"/>
      <c r="B468" s="90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  <c r="W468" s="90"/>
      <c r="X468" s="90"/>
      <c r="Y468" s="90"/>
      <c r="Z468" s="90"/>
    </row>
    <row r="469" spans="1:26" ht="15.75" customHeight="1">
      <c r="A469" s="90"/>
      <c r="B469" s="90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  <c r="W469" s="90"/>
      <c r="X469" s="90"/>
      <c r="Y469" s="90"/>
      <c r="Z469" s="90"/>
    </row>
    <row r="470" spans="1:26" ht="15.75" customHeight="1">
      <c r="A470" s="90"/>
      <c r="B470" s="90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  <c r="W470" s="90"/>
      <c r="X470" s="90"/>
      <c r="Y470" s="90"/>
      <c r="Z470" s="90"/>
    </row>
    <row r="471" spans="1:26" ht="15.75" customHeight="1">
      <c r="A471" s="90"/>
      <c r="B471" s="90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  <c r="W471" s="90"/>
      <c r="X471" s="90"/>
      <c r="Y471" s="90"/>
      <c r="Z471" s="90"/>
    </row>
    <row r="472" spans="1:26" ht="15.75" customHeight="1">
      <c r="A472" s="90"/>
      <c r="B472" s="90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  <c r="W472" s="90"/>
      <c r="X472" s="90"/>
      <c r="Y472" s="90"/>
      <c r="Z472" s="90"/>
    </row>
    <row r="473" spans="1:26" ht="15.75" customHeight="1">
      <c r="A473" s="90"/>
      <c r="B473" s="90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  <c r="W473" s="90"/>
      <c r="X473" s="90"/>
      <c r="Y473" s="90"/>
      <c r="Z473" s="90"/>
    </row>
    <row r="474" spans="1:26" ht="15.75" customHeight="1">
      <c r="A474" s="90"/>
      <c r="B474" s="90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  <c r="W474" s="90"/>
      <c r="X474" s="90"/>
      <c r="Y474" s="90"/>
      <c r="Z474" s="90"/>
    </row>
    <row r="475" spans="1:26" ht="15.75" customHeight="1">
      <c r="A475" s="90"/>
      <c r="B475" s="90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  <c r="W475" s="90"/>
      <c r="X475" s="90"/>
      <c r="Y475" s="90"/>
      <c r="Z475" s="90"/>
    </row>
    <row r="476" spans="1:26" ht="15.75" customHeight="1">
      <c r="A476" s="90"/>
      <c r="B476" s="90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  <c r="W476" s="90"/>
      <c r="X476" s="90"/>
      <c r="Y476" s="90"/>
      <c r="Z476" s="90"/>
    </row>
    <row r="477" spans="1:26" ht="15.75" customHeight="1">
      <c r="A477" s="90"/>
      <c r="B477" s="90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  <c r="W477" s="90"/>
      <c r="X477" s="90"/>
      <c r="Y477" s="90"/>
      <c r="Z477" s="90"/>
    </row>
    <row r="478" spans="1:26" ht="15.75" customHeight="1">
      <c r="A478" s="90"/>
      <c r="B478" s="90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  <c r="W478" s="90"/>
      <c r="X478" s="90"/>
      <c r="Y478" s="90"/>
      <c r="Z478" s="90"/>
    </row>
    <row r="479" spans="1:26" ht="15.75" customHeight="1">
      <c r="A479" s="90"/>
      <c r="B479" s="90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  <c r="W479" s="90"/>
      <c r="X479" s="90"/>
      <c r="Y479" s="90"/>
      <c r="Z479" s="90"/>
    </row>
    <row r="480" spans="1:26" ht="15.75" customHeight="1">
      <c r="A480" s="90"/>
      <c r="B480" s="90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  <c r="W480" s="90"/>
      <c r="X480" s="90"/>
      <c r="Y480" s="90"/>
      <c r="Z480" s="90"/>
    </row>
    <row r="481" spans="1:26" ht="15.75" customHeight="1">
      <c r="A481" s="90"/>
      <c r="B481" s="90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  <c r="W481" s="90"/>
      <c r="X481" s="90"/>
      <c r="Y481" s="90"/>
      <c r="Z481" s="90"/>
    </row>
    <row r="482" spans="1:26" ht="15.75" customHeight="1">
      <c r="A482" s="90"/>
      <c r="B482" s="90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  <c r="W482" s="90"/>
      <c r="X482" s="90"/>
      <c r="Y482" s="90"/>
      <c r="Z482" s="90"/>
    </row>
    <row r="483" spans="1:26" ht="15.75" customHeight="1">
      <c r="A483" s="90"/>
      <c r="B483" s="90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  <c r="W483" s="90"/>
      <c r="X483" s="90"/>
      <c r="Y483" s="90"/>
      <c r="Z483" s="90"/>
    </row>
    <row r="484" spans="1:26" ht="15.75" customHeight="1">
      <c r="A484" s="90"/>
      <c r="B484" s="90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  <c r="W484" s="90"/>
      <c r="X484" s="90"/>
      <c r="Y484" s="90"/>
      <c r="Z484" s="90"/>
    </row>
    <row r="485" spans="1:26" ht="15.75" customHeight="1">
      <c r="A485" s="90"/>
      <c r="B485" s="90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  <c r="W485" s="90"/>
      <c r="X485" s="90"/>
      <c r="Y485" s="90"/>
      <c r="Z485" s="90"/>
    </row>
    <row r="486" spans="1:26" ht="15.75" customHeight="1">
      <c r="A486" s="90"/>
      <c r="B486" s="90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  <c r="W486" s="90"/>
      <c r="X486" s="90"/>
      <c r="Y486" s="90"/>
      <c r="Z486" s="90"/>
    </row>
    <row r="487" spans="1:26" ht="15.75" customHeight="1">
      <c r="A487" s="90"/>
      <c r="B487" s="90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  <c r="W487" s="90"/>
      <c r="X487" s="90"/>
      <c r="Y487" s="90"/>
      <c r="Z487" s="90"/>
    </row>
    <row r="488" spans="1:26" ht="15.75" customHeight="1">
      <c r="A488" s="90"/>
      <c r="B488" s="90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  <c r="W488" s="90"/>
      <c r="X488" s="90"/>
      <c r="Y488" s="90"/>
      <c r="Z488" s="90"/>
    </row>
    <row r="489" spans="1:26" ht="15.75" customHeight="1">
      <c r="A489" s="90"/>
      <c r="B489" s="90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  <c r="W489" s="90"/>
      <c r="X489" s="90"/>
      <c r="Y489" s="90"/>
      <c r="Z489" s="90"/>
    </row>
    <row r="490" spans="1:26" ht="15.75" customHeight="1">
      <c r="A490" s="90"/>
      <c r="B490" s="90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  <c r="W490" s="90"/>
      <c r="X490" s="90"/>
      <c r="Y490" s="90"/>
      <c r="Z490" s="90"/>
    </row>
    <row r="491" spans="1:26" ht="15.75" customHeight="1">
      <c r="A491" s="90"/>
      <c r="B491" s="90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  <c r="W491" s="90"/>
      <c r="X491" s="90"/>
      <c r="Y491" s="90"/>
      <c r="Z491" s="90"/>
    </row>
    <row r="492" spans="1:26" ht="15.75" customHeight="1">
      <c r="A492" s="90"/>
      <c r="B492" s="90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  <c r="W492" s="90"/>
      <c r="X492" s="90"/>
      <c r="Y492" s="90"/>
      <c r="Z492" s="90"/>
    </row>
    <row r="493" spans="1:26" ht="15.75" customHeight="1">
      <c r="A493" s="90"/>
      <c r="B493" s="90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  <c r="W493" s="90"/>
      <c r="X493" s="90"/>
      <c r="Y493" s="90"/>
      <c r="Z493" s="90"/>
    </row>
    <row r="494" spans="1:26" ht="15.75" customHeight="1">
      <c r="A494" s="90"/>
      <c r="B494" s="90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  <c r="W494" s="90"/>
      <c r="X494" s="90"/>
      <c r="Y494" s="90"/>
      <c r="Z494" s="90"/>
    </row>
    <row r="495" spans="1:26" ht="15.75" customHeight="1">
      <c r="A495" s="90"/>
      <c r="B495" s="90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  <c r="W495" s="90"/>
      <c r="X495" s="90"/>
      <c r="Y495" s="90"/>
      <c r="Z495" s="90"/>
    </row>
    <row r="496" spans="1:26" ht="15.75" customHeight="1">
      <c r="A496" s="90"/>
      <c r="B496" s="90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  <c r="W496" s="90"/>
      <c r="X496" s="90"/>
      <c r="Y496" s="90"/>
      <c r="Z496" s="90"/>
    </row>
    <row r="497" spans="1:26" ht="15.75" customHeight="1">
      <c r="A497" s="90"/>
      <c r="B497" s="90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  <c r="W497" s="90"/>
      <c r="X497" s="90"/>
      <c r="Y497" s="90"/>
      <c r="Z497" s="90"/>
    </row>
    <row r="498" spans="1:26" ht="15.75" customHeight="1">
      <c r="A498" s="90"/>
      <c r="B498" s="90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  <c r="W498" s="90"/>
      <c r="X498" s="90"/>
      <c r="Y498" s="90"/>
      <c r="Z498" s="90"/>
    </row>
    <row r="499" spans="1:26" ht="15.75" customHeight="1">
      <c r="A499" s="90"/>
      <c r="B499" s="90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  <c r="W499" s="90"/>
      <c r="X499" s="90"/>
      <c r="Y499" s="90"/>
      <c r="Z499" s="90"/>
    </row>
    <row r="500" spans="1:26" ht="15.75" customHeight="1">
      <c r="A500" s="90"/>
      <c r="B500" s="90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  <c r="W500" s="90"/>
      <c r="X500" s="90"/>
      <c r="Y500" s="90"/>
      <c r="Z500" s="90"/>
    </row>
    <row r="501" spans="1:26" ht="15.75" customHeight="1">
      <c r="A501" s="90"/>
      <c r="B501" s="90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  <c r="W501" s="90"/>
      <c r="X501" s="90"/>
      <c r="Y501" s="90"/>
      <c r="Z501" s="90"/>
    </row>
    <row r="502" spans="1:26" ht="15.75" customHeight="1">
      <c r="A502" s="90"/>
      <c r="B502" s="90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  <c r="W502" s="90"/>
      <c r="X502" s="90"/>
      <c r="Y502" s="90"/>
      <c r="Z502" s="90"/>
    </row>
    <row r="503" spans="1:26" ht="15.75" customHeight="1">
      <c r="A503" s="90"/>
      <c r="B503" s="90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  <c r="W503" s="90"/>
      <c r="X503" s="90"/>
      <c r="Y503" s="90"/>
      <c r="Z503" s="90"/>
    </row>
    <row r="504" spans="1:26" ht="15.75" customHeight="1">
      <c r="A504" s="90"/>
      <c r="B504" s="90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  <c r="W504" s="90"/>
      <c r="X504" s="90"/>
      <c r="Y504" s="90"/>
      <c r="Z504" s="90"/>
    </row>
    <row r="505" spans="1:26" ht="15.75" customHeight="1">
      <c r="A505" s="90"/>
      <c r="B505" s="90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  <c r="W505" s="90"/>
      <c r="X505" s="90"/>
      <c r="Y505" s="90"/>
      <c r="Z505" s="90"/>
    </row>
    <row r="506" spans="1:26" ht="15.75" customHeight="1">
      <c r="A506" s="90"/>
      <c r="B506" s="90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  <c r="W506" s="90"/>
      <c r="X506" s="90"/>
      <c r="Y506" s="90"/>
      <c r="Z506" s="90"/>
    </row>
    <row r="507" spans="1:26" ht="15.75" customHeight="1">
      <c r="A507" s="90"/>
      <c r="B507" s="90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  <c r="W507" s="90"/>
      <c r="X507" s="90"/>
      <c r="Y507" s="90"/>
      <c r="Z507" s="90"/>
    </row>
    <row r="508" spans="1:26" ht="15.75" customHeight="1">
      <c r="A508" s="90"/>
      <c r="B508" s="90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  <c r="W508" s="90"/>
      <c r="X508" s="90"/>
      <c r="Y508" s="90"/>
      <c r="Z508" s="90"/>
    </row>
    <row r="509" spans="1:26" ht="15.75" customHeight="1">
      <c r="A509" s="90"/>
      <c r="B509" s="90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  <c r="W509" s="90"/>
      <c r="X509" s="90"/>
      <c r="Y509" s="90"/>
      <c r="Z509" s="90"/>
    </row>
    <row r="510" spans="1:26" ht="15.75" customHeight="1">
      <c r="A510" s="90"/>
      <c r="B510" s="90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  <c r="W510" s="90"/>
      <c r="X510" s="90"/>
      <c r="Y510" s="90"/>
      <c r="Z510" s="90"/>
    </row>
    <row r="511" spans="1:26" ht="15.75" customHeight="1">
      <c r="A511" s="90"/>
      <c r="B511" s="90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  <c r="W511" s="90"/>
      <c r="X511" s="90"/>
      <c r="Y511" s="90"/>
      <c r="Z511" s="90"/>
    </row>
    <row r="512" spans="1:26" ht="15.75" customHeight="1">
      <c r="A512" s="90"/>
      <c r="B512" s="90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  <c r="W512" s="90"/>
      <c r="X512" s="90"/>
      <c r="Y512" s="90"/>
      <c r="Z512" s="90"/>
    </row>
    <row r="513" spans="1:26" ht="15.75" customHeight="1">
      <c r="A513" s="90"/>
      <c r="B513" s="90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  <c r="W513" s="90"/>
      <c r="X513" s="90"/>
      <c r="Y513" s="90"/>
      <c r="Z513" s="90"/>
    </row>
    <row r="514" spans="1:26" ht="15.75" customHeight="1">
      <c r="A514" s="90"/>
      <c r="B514" s="90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  <c r="W514" s="90"/>
      <c r="X514" s="90"/>
      <c r="Y514" s="90"/>
      <c r="Z514" s="90"/>
    </row>
    <row r="515" spans="1:26" ht="15.75" customHeight="1">
      <c r="A515" s="90"/>
      <c r="B515" s="90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  <c r="W515" s="90"/>
      <c r="X515" s="90"/>
      <c r="Y515" s="90"/>
      <c r="Z515" s="90"/>
    </row>
    <row r="516" spans="1:26" ht="15.75" customHeight="1">
      <c r="A516" s="90"/>
      <c r="B516" s="90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  <c r="W516" s="90"/>
      <c r="X516" s="90"/>
      <c r="Y516" s="90"/>
      <c r="Z516" s="90"/>
    </row>
    <row r="517" spans="1:26" ht="15.75" customHeight="1">
      <c r="A517" s="90"/>
      <c r="B517" s="90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  <c r="W517" s="90"/>
      <c r="X517" s="90"/>
      <c r="Y517" s="90"/>
      <c r="Z517" s="90"/>
    </row>
    <row r="518" spans="1:26" ht="15.75" customHeight="1">
      <c r="A518" s="90"/>
      <c r="B518" s="90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  <c r="W518" s="90"/>
      <c r="X518" s="90"/>
      <c r="Y518" s="90"/>
      <c r="Z518" s="90"/>
    </row>
    <row r="519" spans="1:26" ht="15.75" customHeight="1">
      <c r="A519" s="90"/>
      <c r="B519" s="90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  <c r="W519" s="90"/>
      <c r="X519" s="90"/>
      <c r="Y519" s="90"/>
      <c r="Z519" s="90"/>
    </row>
    <row r="520" spans="1:26" ht="15.75" customHeight="1">
      <c r="A520" s="90"/>
      <c r="B520" s="90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  <c r="W520" s="90"/>
      <c r="X520" s="90"/>
      <c r="Y520" s="90"/>
      <c r="Z520" s="90"/>
    </row>
    <row r="521" spans="1:26" ht="15.75" customHeight="1">
      <c r="A521" s="90"/>
      <c r="B521" s="90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  <c r="W521" s="90"/>
      <c r="X521" s="90"/>
      <c r="Y521" s="90"/>
      <c r="Z521" s="90"/>
    </row>
    <row r="522" spans="1:26" ht="15.75" customHeight="1">
      <c r="A522" s="90"/>
      <c r="B522" s="90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  <c r="W522" s="90"/>
      <c r="X522" s="90"/>
      <c r="Y522" s="90"/>
      <c r="Z522" s="90"/>
    </row>
    <row r="523" spans="1:26" ht="15.75" customHeight="1">
      <c r="A523" s="90"/>
      <c r="B523" s="90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  <c r="W523" s="90"/>
      <c r="X523" s="90"/>
      <c r="Y523" s="90"/>
      <c r="Z523" s="90"/>
    </row>
    <row r="524" spans="1:26" ht="15.75" customHeight="1">
      <c r="A524" s="90"/>
      <c r="B524" s="90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  <c r="W524" s="90"/>
      <c r="X524" s="90"/>
      <c r="Y524" s="90"/>
      <c r="Z524" s="90"/>
    </row>
    <row r="525" spans="1:26" ht="15.75" customHeight="1">
      <c r="A525" s="90"/>
      <c r="B525" s="90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  <c r="W525" s="90"/>
      <c r="X525" s="90"/>
      <c r="Y525" s="90"/>
      <c r="Z525" s="90"/>
    </row>
    <row r="526" spans="1:26" ht="15.75" customHeight="1">
      <c r="A526" s="90"/>
      <c r="B526" s="90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  <c r="W526" s="90"/>
      <c r="X526" s="90"/>
      <c r="Y526" s="90"/>
      <c r="Z526" s="90"/>
    </row>
    <row r="527" spans="1:26" ht="15.75" customHeight="1">
      <c r="A527" s="90"/>
      <c r="B527" s="90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  <c r="W527" s="90"/>
      <c r="X527" s="90"/>
      <c r="Y527" s="90"/>
      <c r="Z527" s="90"/>
    </row>
    <row r="528" spans="1:26" ht="15.75" customHeight="1">
      <c r="A528" s="90"/>
      <c r="B528" s="90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  <c r="W528" s="90"/>
      <c r="X528" s="90"/>
      <c r="Y528" s="90"/>
      <c r="Z528" s="90"/>
    </row>
    <row r="529" spans="1:26" ht="15.75" customHeight="1">
      <c r="A529" s="90"/>
      <c r="B529" s="90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  <c r="W529" s="90"/>
      <c r="X529" s="90"/>
      <c r="Y529" s="90"/>
      <c r="Z529" s="90"/>
    </row>
    <row r="530" spans="1:26" ht="15.75" customHeight="1">
      <c r="A530" s="90"/>
      <c r="B530" s="90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  <c r="W530" s="90"/>
      <c r="X530" s="90"/>
      <c r="Y530" s="90"/>
      <c r="Z530" s="90"/>
    </row>
    <row r="531" spans="1:26" ht="15.75" customHeight="1">
      <c r="A531" s="90"/>
      <c r="B531" s="90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  <c r="W531" s="90"/>
      <c r="X531" s="90"/>
      <c r="Y531" s="90"/>
      <c r="Z531" s="90"/>
    </row>
    <row r="532" spans="1:26" ht="15.75" customHeight="1">
      <c r="A532" s="90"/>
      <c r="B532" s="90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  <c r="W532" s="90"/>
      <c r="X532" s="90"/>
      <c r="Y532" s="90"/>
      <c r="Z532" s="90"/>
    </row>
    <row r="533" spans="1:26" ht="15.75" customHeight="1">
      <c r="A533" s="90"/>
      <c r="B533" s="90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  <c r="W533" s="90"/>
      <c r="X533" s="90"/>
      <c r="Y533" s="90"/>
      <c r="Z533" s="90"/>
    </row>
    <row r="534" spans="1:26" ht="15.75" customHeight="1">
      <c r="A534" s="90"/>
      <c r="B534" s="90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  <c r="W534" s="90"/>
      <c r="X534" s="90"/>
      <c r="Y534" s="90"/>
      <c r="Z534" s="90"/>
    </row>
    <row r="535" spans="1:26" ht="15.75" customHeight="1">
      <c r="A535" s="90"/>
      <c r="B535" s="90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  <c r="W535" s="90"/>
      <c r="X535" s="90"/>
      <c r="Y535" s="90"/>
      <c r="Z535" s="90"/>
    </row>
    <row r="536" spans="1:26" ht="15.75" customHeight="1">
      <c r="A536" s="90"/>
      <c r="B536" s="90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  <c r="W536" s="90"/>
      <c r="X536" s="90"/>
      <c r="Y536" s="90"/>
      <c r="Z536" s="90"/>
    </row>
    <row r="537" spans="1:26" ht="15.75" customHeight="1">
      <c r="A537" s="90"/>
      <c r="B537" s="90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  <c r="W537" s="90"/>
      <c r="X537" s="90"/>
      <c r="Y537" s="90"/>
      <c r="Z537" s="90"/>
    </row>
    <row r="538" spans="1:26" ht="15.75" customHeight="1">
      <c r="A538" s="90"/>
      <c r="B538" s="90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  <c r="W538" s="90"/>
      <c r="X538" s="90"/>
      <c r="Y538" s="90"/>
      <c r="Z538" s="90"/>
    </row>
    <row r="539" spans="1:26" ht="15.75" customHeight="1">
      <c r="A539" s="90"/>
      <c r="B539" s="90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  <c r="W539" s="90"/>
      <c r="X539" s="90"/>
      <c r="Y539" s="90"/>
      <c r="Z539" s="90"/>
    </row>
    <row r="540" spans="1:26" ht="15.75" customHeight="1">
      <c r="A540" s="90"/>
      <c r="B540" s="90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  <c r="W540" s="90"/>
      <c r="X540" s="90"/>
      <c r="Y540" s="90"/>
      <c r="Z540" s="90"/>
    </row>
    <row r="541" spans="1:26" ht="15.75" customHeight="1">
      <c r="A541" s="90"/>
      <c r="B541" s="90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  <c r="W541" s="90"/>
      <c r="X541" s="90"/>
      <c r="Y541" s="90"/>
      <c r="Z541" s="90"/>
    </row>
    <row r="542" spans="1:26" ht="15.75" customHeight="1">
      <c r="A542" s="90"/>
      <c r="B542" s="90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  <c r="W542" s="90"/>
      <c r="X542" s="90"/>
      <c r="Y542" s="90"/>
      <c r="Z542" s="90"/>
    </row>
    <row r="543" spans="1:26" ht="15.75" customHeight="1">
      <c r="A543" s="90"/>
      <c r="B543" s="90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  <c r="W543" s="90"/>
      <c r="X543" s="90"/>
      <c r="Y543" s="90"/>
      <c r="Z543" s="90"/>
    </row>
    <row r="544" spans="1:26" ht="15.75" customHeight="1">
      <c r="A544" s="90"/>
      <c r="B544" s="90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  <c r="W544" s="90"/>
      <c r="X544" s="90"/>
      <c r="Y544" s="90"/>
      <c r="Z544" s="90"/>
    </row>
    <row r="545" spans="1:26" ht="15.75" customHeight="1">
      <c r="A545" s="90"/>
      <c r="B545" s="90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  <c r="W545" s="90"/>
      <c r="X545" s="90"/>
      <c r="Y545" s="90"/>
      <c r="Z545" s="90"/>
    </row>
    <row r="546" spans="1:26" ht="15.75" customHeight="1">
      <c r="A546" s="90"/>
      <c r="B546" s="90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  <c r="W546" s="90"/>
      <c r="X546" s="90"/>
      <c r="Y546" s="90"/>
      <c r="Z546" s="90"/>
    </row>
    <row r="547" spans="1:26" ht="15.75" customHeight="1">
      <c r="A547" s="90"/>
      <c r="B547" s="90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  <c r="W547" s="90"/>
      <c r="X547" s="90"/>
      <c r="Y547" s="90"/>
      <c r="Z547" s="90"/>
    </row>
    <row r="548" spans="1:26" ht="15.75" customHeight="1">
      <c r="A548" s="90"/>
      <c r="B548" s="90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  <c r="W548" s="90"/>
      <c r="X548" s="90"/>
      <c r="Y548" s="90"/>
      <c r="Z548" s="90"/>
    </row>
    <row r="549" spans="1:26" ht="15.75" customHeight="1">
      <c r="A549" s="90"/>
      <c r="B549" s="90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  <c r="W549" s="90"/>
      <c r="X549" s="90"/>
      <c r="Y549" s="90"/>
      <c r="Z549" s="90"/>
    </row>
    <row r="550" spans="1:26" ht="15.75" customHeight="1">
      <c r="A550" s="90"/>
      <c r="B550" s="90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  <c r="W550" s="90"/>
      <c r="X550" s="90"/>
      <c r="Y550" s="90"/>
      <c r="Z550" s="90"/>
    </row>
    <row r="551" spans="1:26" ht="15.75" customHeight="1">
      <c r="A551" s="90"/>
      <c r="B551" s="90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  <c r="W551" s="90"/>
      <c r="X551" s="90"/>
      <c r="Y551" s="90"/>
      <c r="Z551" s="90"/>
    </row>
    <row r="552" spans="1:26" ht="15.75" customHeight="1">
      <c r="A552" s="90"/>
      <c r="B552" s="90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  <c r="W552" s="90"/>
      <c r="X552" s="90"/>
      <c r="Y552" s="90"/>
      <c r="Z552" s="90"/>
    </row>
    <row r="553" spans="1:26" ht="15.75" customHeight="1">
      <c r="A553" s="90"/>
      <c r="B553" s="90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  <c r="W553" s="90"/>
      <c r="X553" s="90"/>
      <c r="Y553" s="90"/>
      <c r="Z553" s="90"/>
    </row>
    <row r="554" spans="1:26" ht="15.75" customHeight="1">
      <c r="A554" s="90"/>
      <c r="B554" s="90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  <c r="W554" s="90"/>
      <c r="X554" s="90"/>
      <c r="Y554" s="90"/>
      <c r="Z554" s="90"/>
    </row>
    <row r="555" spans="1:26" ht="15.75" customHeight="1">
      <c r="A555" s="90"/>
      <c r="B555" s="90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  <c r="W555" s="90"/>
      <c r="X555" s="90"/>
      <c r="Y555" s="90"/>
      <c r="Z555" s="90"/>
    </row>
    <row r="556" spans="1:26" ht="15.75" customHeight="1">
      <c r="A556" s="90"/>
      <c r="B556" s="90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  <c r="W556" s="90"/>
      <c r="X556" s="90"/>
      <c r="Y556" s="90"/>
      <c r="Z556" s="90"/>
    </row>
    <row r="557" spans="1:26" ht="15.75" customHeight="1">
      <c r="A557" s="90"/>
      <c r="B557" s="90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  <c r="W557" s="90"/>
      <c r="X557" s="90"/>
      <c r="Y557" s="90"/>
      <c r="Z557" s="90"/>
    </row>
    <row r="558" spans="1:26" ht="15.75" customHeight="1">
      <c r="A558" s="90"/>
      <c r="B558" s="90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  <c r="W558" s="90"/>
      <c r="X558" s="90"/>
      <c r="Y558" s="90"/>
      <c r="Z558" s="90"/>
    </row>
    <row r="559" spans="1:26" ht="15.75" customHeight="1">
      <c r="A559" s="90"/>
      <c r="B559" s="90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  <c r="W559" s="90"/>
      <c r="X559" s="90"/>
      <c r="Y559" s="90"/>
      <c r="Z559" s="90"/>
    </row>
    <row r="560" spans="1:26" ht="15.75" customHeight="1">
      <c r="A560" s="90"/>
      <c r="B560" s="90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  <c r="W560" s="90"/>
      <c r="X560" s="90"/>
      <c r="Y560" s="90"/>
      <c r="Z560" s="90"/>
    </row>
    <row r="561" spans="1:26" ht="15.75" customHeight="1">
      <c r="A561" s="90"/>
      <c r="B561" s="90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  <c r="W561" s="90"/>
      <c r="X561" s="90"/>
      <c r="Y561" s="90"/>
      <c r="Z561" s="90"/>
    </row>
    <row r="562" spans="1:26" ht="15.75" customHeight="1">
      <c r="A562" s="90"/>
      <c r="B562" s="90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  <c r="W562" s="90"/>
      <c r="X562" s="90"/>
      <c r="Y562" s="90"/>
      <c r="Z562" s="90"/>
    </row>
    <row r="563" spans="1:26" ht="15.75" customHeight="1">
      <c r="A563" s="90"/>
      <c r="B563" s="90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  <c r="W563" s="90"/>
      <c r="X563" s="90"/>
      <c r="Y563" s="90"/>
      <c r="Z563" s="90"/>
    </row>
    <row r="564" spans="1:26" ht="15.75" customHeight="1">
      <c r="A564" s="90"/>
      <c r="B564" s="90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  <c r="W564" s="90"/>
      <c r="X564" s="90"/>
      <c r="Y564" s="90"/>
      <c r="Z564" s="90"/>
    </row>
    <row r="565" spans="1:26" ht="15.75" customHeight="1">
      <c r="A565" s="90"/>
      <c r="B565" s="90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  <c r="W565" s="90"/>
      <c r="X565" s="90"/>
      <c r="Y565" s="90"/>
      <c r="Z565" s="90"/>
    </row>
    <row r="566" spans="1:26" ht="15.75" customHeight="1">
      <c r="A566" s="90"/>
      <c r="B566" s="90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  <c r="W566" s="90"/>
      <c r="X566" s="90"/>
      <c r="Y566" s="90"/>
      <c r="Z566" s="90"/>
    </row>
    <row r="567" spans="1:26" ht="15.75" customHeight="1">
      <c r="A567" s="90"/>
      <c r="B567" s="90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  <c r="W567" s="90"/>
      <c r="X567" s="90"/>
      <c r="Y567" s="90"/>
      <c r="Z567" s="90"/>
    </row>
    <row r="568" spans="1:26" ht="15.75" customHeight="1">
      <c r="A568" s="90"/>
      <c r="B568" s="90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  <c r="W568" s="90"/>
      <c r="X568" s="90"/>
      <c r="Y568" s="90"/>
      <c r="Z568" s="90"/>
    </row>
    <row r="569" spans="1:26" ht="15.75" customHeight="1">
      <c r="A569" s="90"/>
      <c r="B569" s="90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  <c r="W569" s="90"/>
      <c r="X569" s="90"/>
      <c r="Y569" s="90"/>
      <c r="Z569" s="90"/>
    </row>
    <row r="570" spans="1:26" ht="15.75" customHeight="1">
      <c r="A570" s="90"/>
      <c r="B570" s="90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  <c r="W570" s="90"/>
      <c r="X570" s="90"/>
      <c r="Y570" s="90"/>
      <c r="Z570" s="90"/>
    </row>
    <row r="571" spans="1:26" ht="15.75" customHeight="1">
      <c r="A571" s="90"/>
      <c r="B571" s="90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  <c r="W571" s="90"/>
      <c r="X571" s="90"/>
      <c r="Y571" s="90"/>
      <c r="Z571" s="90"/>
    </row>
    <row r="572" spans="1:26" ht="15.75" customHeight="1">
      <c r="A572" s="90"/>
      <c r="B572" s="90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  <c r="W572" s="90"/>
      <c r="X572" s="90"/>
      <c r="Y572" s="90"/>
      <c r="Z572" s="90"/>
    </row>
    <row r="573" spans="1:26" ht="15.75" customHeight="1">
      <c r="A573" s="90"/>
      <c r="B573" s="90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  <c r="W573" s="90"/>
      <c r="X573" s="90"/>
      <c r="Y573" s="90"/>
      <c r="Z573" s="90"/>
    </row>
    <row r="574" spans="1:26" ht="15.75" customHeight="1">
      <c r="A574" s="90"/>
      <c r="B574" s="90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  <c r="W574" s="90"/>
      <c r="X574" s="90"/>
      <c r="Y574" s="90"/>
      <c r="Z574" s="90"/>
    </row>
    <row r="575" spans="1:26" ht="15.75" customHeight="1">
      <c r="A575" s="90"/>
      <c r="B575" s="90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  <c r="W575" s="90"/>
      <c r="X575" s="90"/>
      <c r="Y575" s="90"/>
      <c r="Z575" s="90"/>
    </row>
    <row r="576" spans="1:26" ht="15.75" customHeight="1">
      <c r="A576" s="90"/>
      <c r="B576" s="90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  <c r="W576" s="90"/>
      <c r="X576" s="90"/>
      <c r="Y576" s="90"/>
      <c r="Z576" s="90"/>
    </row>
    <row r="577" spans="1:26" ht="15.75" customHeight="1">
      <c r="A577" s="90"/>
      <c r="B577" s="90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  <c r="W577" s="90"/>
      <c r="X577" s="90"/>
      <c r="Y577" s="90"/>
      <c r="Z577" s="90"/>
    </row>
    <row r="578" spans="1:26" ht="15.75" customHeight="1">
      <c r="A578" s="90"/>
      <c r="B578" s="90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  <c r="W578" s="90"/>
      <c r="X578" s="90"/>
      <c r="Y578" s="90"/>
      <c r="Z578" s="90"/>
    </row>
    <row r="579" spans="1:26" ht="15.75" customHeight="1">
      <c r="A579" s="90"/>
      <c r="B579" s="90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  <c r="W579" s="90"/>
      <c r="X579" s="90"/>
      <c r="Y579" s="90"/>
      <c r="Z579" s="90"/>
    </row>
    <row r="580" spans="1:26" ht="15.75" customHeight="1">
      <c r="A580" s="90"/>
      <c r="B580" s="90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  <c r="W580" s="90"/>
      <c r="X580" s="90"/>
      <c r="Y580" s="90"/>
      <c r="Z580" s="90"/>
    </row>
    <row r="581" spans="1:26" ht="15.75" customHeight="1">
      <c r="A581" s="90"/>
      <c r="B581" s="90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  <c r="W581" s="90"/>
      <c r="X581" s="90"/>
      <c r="Y581" s="90"/>
      <c r="Z581" s="90"/>
    </row>
    <row r="582" spans="1:26" ht="15.75" customHeight="1">
      <c r="A582" s="90"/>
      <c r="B582" s="90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  <c r="W582" s="90"/>
      <c r="X582" s="90"/>
      <c r="Y582" s="90"/>
      <c r="Z582" s="90"/>
    </row>
    <row r="583" spans="1:26" ht="15.75" customHeight="1">
      <c r="A583" s="90"/>
      <c r="B583" s="90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  <c r="W583" s="90"/>
      <c r="X583" s="90"/>
      <c r="Y583" s="90"/>
      <c r="Z583" s="90"/>
    </row>
    <row r="584" spans="1:26" ht="15.75" customHeight="1">
      <c r="A584" s="90"/>
      <c r="B584" s="90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  <c r="W584" s="90"/>
      <c r="X584" s="90"/>
      <c r="Y584" s="90"/>
      <c r="Z584" s="90"/>
    </row>
    <row r="585" spans="1:26" ht="15.75" customHeight="1">
      <c r="A585" s="90"/>
      <c r="B585" s="90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  <c r="W585" s="90"/>
      <c r="X585" s="90"/>
      <c r="Y585" s="90"/>
      <c r="Z585" s="90"/>
    </row>
    <row r="586" spans="1:26" ht="15.75" customHeight="1">
      <c r="A586" s="90"/>
      <c r="B586" s="90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  <c r="W586" s="90"/>
      <c r="X586" s="90"/>
      <c r="Y586" s="90"/>
      <c r="Z586" s="90"/>
    </row>
    <row r="587" spans="1:26" ht="15.75" customHeight="1">
      <c r="A587" s="90"/>
      <c r="B587" s="90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  <c r="W587" s="90"/>
      <c r="X587" s="90"/>
      <c r="Y587" s="90"/>
      <c r="Z587" s="90"/>
    </row>
    <row r="588" spans="1:26" ht="15.75" customHeight="1">
      <c r="A588" s="90"/>
      <c r="B588" s="90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  <c r="W588" s="90"/>
      <c r="X588" s="90"/>
      <c r="Y588" s="90"/>
      <c r="Z588" s="90"/>
    </row>
    <row r="589" spans="1:26" ht="15.75" customHeight="1">
      <c r="A589" s="90"/>
      <c r="B589" s="90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  <c r="W589" s="90"/>
      <c r="X589" s="90"/>
      <c r="Y589" s="90"/>
      <c r="Z589" s="90"/>
    </row>
    <row r="590" spans="1:26" ht="15.75" customHeight="1">
      <c r="A590" s="90"/>
      <c r="B590" s="90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  <c r="W590" s="90"/>
      <c r="X590" s="90"/>
      <c r="Y590" s="90"/>
      <c r="Z590" s="90"/>
    </row>
    <row r="591" spans="1:26" ht="15.75" customHeight="1">
      <c r="A591" s="90"/>
      <c r="B591" s="90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  <c r="W591" s="90"/>
      <c r="X591" s="90"/>
      <c r="Y591" s="90"/>
      <c r="Z591" s="90"/>
    </row>
    <row r="592" spans="1:26" ht="15.75" customHeight="1">
      <c r="A592" s="90"/>
      <c r="B592" s="90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  <c r="W592" s="90"/>
      <c r="X592" s="90"/>
      <c r="Y592" s="90"/>
      <c r="Z592" s="90"/>
    </row>
    <row r="593" spans="1:26" ht="15.75" customHeight="1">
      <c r="A593" s="90"/>
      <c r="B593" s="90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  <c r="W593" s="90"/>
      <c r="X593" s="90"/>
      <c r="Y593" s="90"/>
      <c r="Z593" s="90"/>
    </row>
    <row r="594" spans="1:26" ht="15.75" customHeight="1">
      <c r="A594" s="90"/>
      <c r="B594" s="90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  <c r="W594" s="90"/>
      <c r="X594" s="90"/>
      <c r="Y594" s="90"/>
      <c r="Z594" s="90"/>
    </row>
    <row r="595" spans="1:26" ht="15.75" customHeight="1">
      <c r="A595" s="90"/>
      <c r="B595" s="90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  <c r="W595" s="90"/>
      <c r="X595" s="90"/>
      <c r="Y595" s="90"/>
      <c r="Z595" s="90"/>
    </row>
    <row r="596" spans="1:26" ht="15.75" customHeight="1">
      <c r="A596" s="90"/>
      <c r="B596" s="90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  <c r="W596" s="90"/>
      <c r="X596" s="90"/>
      <c r="Y596" s="90"/>
      <c r="Z596" s="90"/>
    </row>
    <row r="597" spans="1:26" ht="15.75" customHeight="1">
      <c r="A597" s="90"/>
      <c r="B597" s="90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  <c r="W597" s="90"/>
      <c r="X597" s="90"/>
      <c r="Y597" s="90"/>
      <c r="Z597" s="90"/>
    </row>
    <row r="598" spans="1:26" ht="15.75" customHeight="1">
      <c r="A598" s="90"/>
      <c r="B598" s="90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  <c r="W598" s="90"/>
      <c r="X598" s="90"/>
      <c r="Y598" s="90"/>
      <c r="Z598" s="90"/>
    </row>
    <row r="599" spans="1:26" ht="15.75" customHeight="1">
      <c r="A599" s="90"/>
      <c r="B599" s="90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  <c r="W599" s="90"/>
      <c r="X599" s="90"/>
      <c r="Y599" s="90"/>
      <c r="Z599" s="90"/>
    </row>
    <row r="600" spans="1:26" ht="15.75" customHeight="1">
      <c r="A600" s="90"/>
      <c r="B600" s="90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  <c r="W600" s="90"/>
      <c r="X600" s="90"/>
      <c r="Y600" s="90"/>
      <c r="Z600" s="90"/>
    </row>
    <row r="601" spans="1:26" ht="15.75" customHeight="1">
      <c r="A601" s="90"/>
      <c r="B601" s="90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  <c r="W601" s="90"/>
      <c r="X601" s="90"/>
      <c r="Y601" s="90"/>
      <c r="Z601" s="90"/>
    </row>
    <row r="602" spans="1:26" ht="15.75" customHeight="1">
      <c r="A602" s="90"/>
      <c r="B602" s="90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  <c r="W602" s="90"/>
      <c r="X602" s="90"/>
      <c r="Y602" s="90"/>
      <c r="Z602" s="90"/>
    </row>
    <row r="603" spans="1:26" ht="15.75" customHeight="1">
      <c r="A603" s="90"/>
      <c r="B603" s="90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  <c r="W603" s="90"/>
      <c r="X603" s="90"/>
      <c r="Y603" s="90"/>
      <c r="Z603" s="90"/>
    </row>
    <row r="604" spans="1:26" ht="15.75" customHeight="1">
      <c r="A604" s="90"/>
      <c r="B604" s="90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  <c r="W604" s="90"/>
      <c r="X604" s="90"/>
      <c r="Y604" s="90"/>
      <c r="Z604" s="90"/>
    </row>
    <row r="605" spans="1:26" ht="15.75" customHeight="1">
      <c r="A605" s="90"/>
      <c r="B605" s="90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  <c r="W605" s="90"/>
      <c r="X605" s="90"/>
      <c r="Y605" s="90"/>
      <c r="Z605" s="90"/>
    </row>
    <row r="606" spans="1:26" ht="15.75" customHeight="1">
      <c r="A606" s="90"/>
      <c r="B606" s="90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  <c r="W606" s="90"/>
      <c r="X606" s="90"/>
      <c r="Y606" s="90"/>
      <c r="Z606" s="90"/>
    </row>
    <row r="607" spans="1:26" ht="15.75" customHeight="1">
      <c r="A607" s="90"/>
      <c r="B607" s="90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  <c r="W607" s="90"/>
      <c r="X607" s="90"/>
      <c r="Y607" s="90"/>
      <c r="Z607" s="90"/>
    </row>
    <row r="608" spans="1:26" ht="15.75" customHeight="1">
      <c r="A608" s="90"/>
      <c r="B608" s="90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  <c r="W608" s="90"/>
      <c r="X608" s="90"/>
      <c r="Y608" s="90"/>
      <c r="Z608" s="90"/>
    </row>
    <row r="609" spans="1:26" ht="15.75" customHeight="1">
      <c r="A609" s="90"/>
      <c r="B609" s="90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  <c r="W609" s="90"/>
      <c r="X609" s="90"/>
      <c r="Y609" s="90"/>
      <c r="Z609" s="90"/>
    </row>
    <row r="610" spans="1:26" ht="15.75" customHeight="1">
      <c r="A610" s="90"/>
      <c r="B610" s="90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  <c r="W610" s="90"/>
      <c r="X610" s="90"/>
      <c r="Y610" s="90"/>
      <c r="Z610" s="90"/>
    </row>
    <row r="611" spans="1:26" ht="15.75" customHeight="1">
      <c r="A611" s="90"/>
      <c r="B611" s="90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  <c r="W611" s="90"/>
      <c r="X611" s="90"/>
      <c r="Y611" s="90"/>
      <c r="Z611" s="90"/>
    </row>
    <row r="612" spans="1:26" ht="15.75" customHeight="1">
      <c r="A612" s="90"/>
      <c r="B612" s="90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  <c r="W612" s="90"/>
      <c r="X612" s="90"/>
      <c r="Y612" s="90"/>
      <c r="Z612" s="90"/>
    </row>
    <row r="613" spans="1:26" ht="15.75" customHeight="1">
      <c r="A613" s="90"/>
      <c r="B613" s="90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  <c r="W613" s="90"/>
      <c r="X613" s="90"/>
      <c r="Y613" s="90"/>
      <c r="Z613" s="90"/>
    </row>
    <row r="614" spans="1:26" ht="15.75" customHeight="1">
      <c r="A614" s="90"/>
      <c r="B614" s="90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  <c r="W614" s="90"/>
      <c r="X614" s="90"/>
      <c r="Y614" s="90"/>
      <c r="Z614" s="90"/>
    </row>
    <row r="615" spans="1:26" ht="15.75" customHeight="1">
      <c r="A615" s="90"/>
      <c r="B615" s="90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  <c r="W615" s="90"/>
      <c r="X615" s="90"/>
      <c r="Y615" s="90"/>
      <c r="Z615" s="90"/>
    </row>
    <row r="616" spans="1:26" ht="15.75" customHeight="1">
      <c r="A616" s="90"/>
      <c r="B616" s="90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  <c r="W616" s="90"/>
      <c r="X616" s="90"/>
      <c r="Y616" s="90"/>
      <c r="Z616" s="90"/>
    </row>
    <row r="617" spans="1:26" ht="15.75" customHeight="1">
      <c r="A617" s="90"/>
      <c r="B617" s="90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  <c r="W617" s="90"/>
      <c r="X617" s="90"/>
      <c r="Y617" s="90"/>
      <c r="Z617" s="90"/>
    </row>
    <row r="618" spans="1:26" ht="15.75" customHeight="1">
      <c r="A618" s="90"/>
      <c r="B618" s="90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  <c r="W618" s="90"/>
      <c r="X618" s="90"/>
      <c r="Y618" s="90"/>
      <c r="Z618" s="90"/>
    </row>
    <row r="619" spans="1:26" ht="15.75" customHeight="1">
      <c r="A619" s="90"/>
      <c r="B619" s="90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  <c r="W619" s="90"/>
      <c r="X619" s="90"/>
      <c r="Y619" s="90"/>
      <c r="Z619" s="90"/>
    </row>
    <row r="620" spans="1:26" ht="15.75" customHeight="1">
      <c r="A620" s="90"/>
      <c r="B620" s="90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  <c r="W620" s="90"/>
      <c r="X620" s="90"/>
      <c r="Y620" s="90"/>
      <c r="Z620" s="90"/>
    </row>
    <row r="621" spans="1:26" ht="15.75" customHeight="1">
      <c r="A621" s="90"/>
      <c r="B621" s="90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  <c r="W621" s="90"/>
      <c r="X621" s="90"/>
      <c r="Y621" s="90"/>
      <c r="Z621" s="90"/>
    </row>
    <row r="622" spans="1:26" ht="15.75" customHeight="1">
      <c r="A622" s="90"/>
      <c r="B622" s="90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  <c r="W622" s="90"/>
      <c r="X622" s="90"/>
      <c r="Y622" s="90"/>
      <c r="Z622" s="90"/>
    </row>
    <row r="623" spans="1:26" ht="15.75" customHeight="1">
      <c r="A623" s="90"/>
      <c r="B623" s="90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  <c r="W623" s="90"/>
      <c r="X623" s="90"/>
      <c r="Y623" s="90"/>
      <c r="Z623" s="90"/>
    </row>
    <row r="624" spans="1:26" ht="15.75" customHeight="1">
      <c r="A624" s="90"/>
      <c r="B624" s="90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  <c r="W624" s="90"/>
      <c r="X624" s="90"/>
      <c r="Y624" s="90"/>
      <c r="Z624" s="90"/>
    </row>
    <row r="625" spans="1:26" ht="15.75" customHeight="1">
      <c r="A625" s="90"/>
      <c r="B625" s="90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  <c r="W625" s="90"/>
      <c r="X625" s="90"/>
      <c r="Y625" s="90"/>
      <c r="Z625" s="90"/>
    </row>
    <row r="626" spans="1:26" ht="15.75" customHeight="1">
      <c r="A626" s="90"/>
      <c r="B626" s="90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  <c r="W626" s="90"/>
      <c r="X626" s="90"/>
      <c r="Y626" s="90"/>
      <c r="Z626" s="90"/>
    </row>
    <row r="627" spans="1:26" ht="15.75" customHeight="1">
      <c r="A627" s="90"/>
      <c r="B627" s="90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  <c r="W627" s="90"/>
      <c r="X627" s="90"/>
      <c r="Y627" s="90"/>
      <c r="Z627" s="90"/>
    </row>
    <row r="628" spans="1:26" ht="15.75" customHeight="1">
      <c r="A628" s="90"/>
      <c r="B628" s="90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  <c r="W628" s="90"/>
      <c r="X628" s="90"/>
      <c r="Y628" s="90"/>
      <c r="Z628" s="90"/>
    </row>
    <row r="629" spans="1:26" ht="15.75" customHeight="1">
      <c r="A629" s="90"/>
      <c r="B629" s="90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  <c r="W629" s="90"/>
      <c r="X629" s="90"/>
      <c r="Y629" s="90"/>
      <c r="Z629" s="90"/>
    </row>
    <row r="630" spans="1:26" ht="15.75" customHeight="1">
      <c r="A630" s="90"/>
      <c r="B630" s="90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  <c r="W630" s="90"/>
      <c r="X630" s="90"/>
      <c r="Y630" s="90"/>
      <c r="Z630" s="90"/>
    </row>
    <row r="631" spans="1:26" ht="15.75" customHeight="1">
      <c r="A631" s="90"/>
      <c r="B631" s="90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  <c r="W631" s="90"/>
      <c r="X631" s="90"/>
      <c r="Y631" s="90"/>
      <c r="Z631" s="90"/>
    </row>
    <row r="632" spans="1:26" ht="15.75" customHeight="1">
      <c r="A632" s="90"/>
      <c r="B632" s="90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  <c r="W632" s="90"/>
      <c r="X632" s="90"/>
      <c r="Y632" s="90"/>
      <c r="Z632" s="90"/>
    </row>
    <row r="633" spans="1:26" ht="15.75" customHeight="1">
      <c r="A633" s="90"/>
      <c r="B633" s="90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  <c r="W633" s="90"/>
      <c r="X633" s="90"/>
      <c r="Y633" s="90"/>
      <c r="Z633" s="90"/>
    </row>
    <row r="634" spans="1:26" ht="15.75" customHeight="1">
      <c r="A634" s="90"/>
      <c r="B634" s="90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  <c r="W634" s="90"/>
      <c r="X634" s="90"/>
      <c r="Y634" s="90"/>
      <c r="Z634" s="90"/>
    </row>
    <row r="635" spans="1:26" ht="15.75" customHeight="1">
      <c r="A635" s="90"/>
      <c r="B635" s="90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  <c r="W635" s="90"/>
      <c r="X635" s="90"/>
      <c r="Y635" s="90"/>
      <c r="Z635" s="90"/>
    </row>
    <row r="636" spans="1:26" ht="15.75" customHeight="1">
      <c r="A636" s="90"/>
      <c r="B636" s="90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  <c r="W636" s="90"/>
      <c r="X636" s="90"/>
      <c r="Y636" s="90"/>
      <c r="Z636" s="90"/>
    </row>
    <row r="637" spans="1:26" ht="15.75" customHeight="1">
      <c r="A637" s="90"/>
      <c r="B637" s="90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  <c r="W637" s="90"/>
      <c r="X637" s="90"/>
      <c r="Y637" s="90"/>
      <c r="Z637" s="90"/>
    </row>
    <row r="638" spans="1:26" ht="15.75" customHeight="1">
      <c r="A638" s="90"/>
      <c r="B638" s="90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  <c r="W638" s="90"/>
      <c r="X638" s="90"/>
      <c r="Y638" s="90"/>
      <c r="Z638" s="90"/>
    </row>
    <row r="639" spans="1:26" ht="15.75" customHeight="1">
      <c r="A639" s="90"/>
      <c r="B639" s="90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  <c r="W639" s="90"/>
      <c r="X639" s="90"/>
      <c r="Y639" s="90"/>
      <c r="Z639" s="90"/>
    </row>
    <row r="640" spans="1:26" ht="15.75" customHeight="1">
      <c r="A640" s="90"/>
      <c r="B640" s="90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  <c r="W640" s="90"/>
      <c r="X640" s="90"/>
      <c r="Y640" s="90"/>
      <c r="Z640" s="90"/>
    </row>
    <row r="641" spans="1:26" ht="15.75" customHeight="1">
      <c r="A641" s="90"/>
      <c r="B641" s="90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  <c r="W641" s="90"/>
      <c r="X641" s="90"/>
      <c r="Y641" s="90"/>
      <c r="Z641" s="90"/>
    </row>
    <row r="642" spans="1:26" ht="15.75" customHeight="1">
      <c r="A642" s="90"/>
      <c r="B642" s="90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  <c r="W642" s="90"/>
      <c r="X642" s="90"/>
      <c r="Y642" s="90"/>
      <c r="Z642" s="90"/>
    </row>
    <row r="643" spans="1:26" ht="15.75" customHeight="1">
      <c r="A643" s="90"/>
      <c r="B643" s="90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  <c r="W643" s="90"/>
      <c r="X643" s="90"/>
      <c r="Y643" s="90"/>
      <c r="Z643" s="90"/>
    </row>
    <row r="644" spans="1:26" ht="15.75" customHeight="1">
      <c r="A644" s="90"/>
      <c r="B644" s="90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  <c r="W644" s="90"/>
      <c r="X644" s="90"/>
      <c r="Y644" s="90"/>
      <c r="Z644" s="90"/>
    </row>
    <row r="645" spans="1:26" ht="15.75" customHeight="1">
      <c r="A645" s="90"/>
      <c r="B645" s="90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  <c r="W645" s="90"/>
      <c r="X645" s="90"/>
      <c r="Y645" s="90"/>
      <c r="Z645" s="90"/>
    </row>
    <row r="646" spans="1:26" ht="15.75" customHeight="1">
      <c r="A646" s="90"/>
      <c r="B646" s="90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  <c r="W646" s="90"/>
      <c r="X646" s="90"/>
      <c r="Y646" s="90"/>
      <c r="Z646" s="90"/>
    </row>
    <row r="647" spans="1:26" ht="15.75" customHeight="1">
      <c r="A647" s="90"/>
      <c r="B647" s="90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  <c r="W647" s="90"/>
      <c r="X647" s="90"/>
      <c r="Y647" s="90"/>
      <c r="Z647" s="90"/>
    </row>
    <row r="648" spans="1:26" ht="15.75" customHeight="1">
      <c r="A648" s="90"/>
      <c r="B648" s="90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  <c r="W648" s="90"/>
      <c r="X648" s="90"/>
      <c r="Y648" s="90"/>
      <c r="Z648" s="90"/>
    </row>
    <row r="649" spans="1:26" ht="15.75" customHeight="1">
      <c r="A649" s="90"/>
      <c r="B649" s="90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  <c r="W649" s="90"/>
      <c r="X649" s="90"/>
      <c r="Y649" s="90"/>
      <c r="Z649" s="90"/>
    </row>
    <row r="650" spans="1:26" ht="15.75" customHeight="1">
      <c r="A650" s="90"/>
      <c r="B650" s="90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  <c r="W650" s="90"/>
      <c r="X650" s="90"/>
      <c r="Y650" s="90"/>
      <c r="Z650" s="90"/>
    </row>
    <row r="651" spans="1:26" ht="15.75" customHeight="1">
      <c r="A651" s="90"/>
      <c r="B651" s="90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  <c r="W651" s="90"/>
      <c r="X651" s="90"/>
      <c r="Y651" s="90"/>
      <c r="Z651" s="90"/>
    </row>
    <row r="652" spans="1:26" ht="15.75" customHeight="1">
      <c r="A652" s="90"/>
      <c r="B652" s="90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  <c r="W652" s="90"/>
      <c r="X652" s="90"/>
      <c r="Y652" s="90"/>
      <c r="Z652" s="90"/>
    </row>
    <row r="653" spans="1:26" ht="15.75" customHeight="1">
      <c r="A653" s="90"/>
      <c r="B653" s="90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  <c r="W653" s="90"/>
      <c r="X653" s="90"/>
      <c r="Y653" s="90"/>
      <c r="Z653" s="90"/>
    </row>
    <row r="654" spans="1:26" ht="15.75" customHeight="1">
      <c r="A654" s="90"/>
      <c r="B654" s="90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  <c r="W654" s="90"/>
      <c r="X654" s="90"/>
      <c r="Y654" s="90"/>
      <c r="Z654" s="90"/>
    </row>
    <row r="655" spans="1:26" ht="15.75" customHeight="1">
      <c r="A655" s="90"/>
      <c r="B655" s="90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  <c r="W655" s="90"/>
      <c r="X655" s="90"/>
      <c r="Y655" s="90"/>
      <c r="Z655" s="90"/>
    </row>
    <row r="656" spans="1:26" ht="15.75" customHeight="1">
      <c r="A656" s="90"/>
      <c r="B656" s="90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  <c r="W656" s="90"/>
      <c r="X656" s="90"/>
      <c r="Y656" s="90"/>
      <c r="Z656" s="90"/>
    </row>
    <row r="657" spans="1:26" ht="15.75" customHeight="1">
      <c r="A657" s="90"/>
      <c r="B657" s="90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  <c r="W657" s="90"/>
      <c r="X657" s="90"/>
      <c r="Y657" s="90"/>
      <c r="Z657" s="90"/>
    </row>
    <row r="658" spans="1:26" ht="15.75" customHeight="1">
      <c r="A658" s="90"/>
      <c r="B658" s="90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  <c r="W658" s="90"/>
      <c r="X658" s="90"/>
      <c r="Y658" s="90"/>
      <c r="Z658" s="90"/>
    </row>
    <row r="659" spans="1:26" ht="15.75" customHeight="1">
      <c r="A659" s="90"/>
      <c r="B659" s="90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  <c r="W659" s="90"/>
      <c r="X659" s="90"/>
      <c r="Y659" s="90"/>
      <c r="Z659" s="90"/>
    </row>
    <row r="660" spans="1:26" ht="15.75" customHeight="1">
      <c r="A660" s="90"/>
      <c r="B660" s="90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  <c r="W660" s="90"/>
      <c r="X660" s="90"/>
      <c r="Y660" s="90"/>
      <c r="Z660" s="90"/>
    </row>
    <row r="661" spans="1:26" ht="15.75" customHeight="1">
      <c r="A661" s="90"/>
      <c r="B661" s="90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  <c r="W661" s="90"/>
      <c r="X661" s="90"/>
      <c r="Y661" s="90"/>
      <c r="Z661" s="90"/>
    </row>
    <row r="662" spans="1:26" ht="15.75" customHeight="1">
      <c r="A662" s="90"/>
      <c r="B662" s="90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  <c r="W662" s="90"/>
      <c r="X662" s="90"/>
      <c r="Y662" s="90"/>
      <c r="Z662" s="90"/>
    </row>
    <row r="663" spans="1:26" ht="15.75" customHeight="1">
      <c r="A663" s="90"/>
      <c r="B663" s="90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  <c r="W663" s="90"/>
      <c r="X663" s="90"/>
      <c r="Y663" s="90"/>
      <c r="Z663" s="90"/>
    </row>
    <row r="664" spans="1:26" ht="15.75" customHeight="1">
      <c r="A664" s="90"/>
      <c r="B664" s="90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  <c r="W664" s="90"/>
      <c r="X664" s="90"/>
      <c r="Y664" s="90"/>
      <c r="Z664" s="90"/>
    </row>
    <row r="665" spans="1:26" ht="15.75" customHeight="1">
      <c r="A665" s="90"/>
      <c r="B665" s="90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  <c r="W665" s="90"/>
      <c r="X665" s="90"/>
      <c r="Y665" s="90"/>
      <c r="Z665" s="90"/>
    </row>
    <row r="666" spans="1:26" ht="15.75" customHeight="1">
      <c r="A666" s="90"/>
      <c r="B666" s="90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  <c r="W666" s="90"/>
      <c r="X666" s="90"/>
      <c r="Y666" s="90"/>
      <c r="Z666" s="90"/>
    </row>
    <row r="667" spans="1:26" ht="15.75" customHeight="1">
      <c r="A667" s="90"/>
      <c r="B667" s="90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  <c r="W667" s="90"/>
      <c r="X667" s="90"/>
      <c r="Y667" s="90"/>
      <c r="Z667" s="90"/>
    </row>
    <row r="668" spans="1:26" ht="15.75" customHeight="1">
      <c r="A668" s="90"/>
      <c r="B668" s="90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  <c r="W668" s="90"/>
      <c r="X668" s="90"/>
      <c r="Y668" s="90"/>
      <c r="Z668" s="90"/>
    </row>
    <row r="669" spans="1:26" ht="15.75" customHeight="1">
      <c r="A669" s="90"/>
      <c r="B669" s="90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  <c r="W669" s="90"/>
      <c r="X669" s="90"/>
      <c r="Y669" s="90"/>
      <c r="Z669" s="90"/>
    </row>
    <row r="670" spans="1:26" ht="15.75" customHeight="1">
      <c r="A670" s="90"/>
      <c r="B670" s="90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  <c r="W670" s="90"/>
      <c r="X670" s="90"/>
      <c r="Y670" s="90"/>
      <c r="Z670" s="90"/>
    </row>
    <row r="671" spans="1:26" ht="15.75" customHeight="1">
      <c r="A671" s="90"/>
      <c r="B671" s="90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  <c r="W671" s="90"/>
      <c r="X671" s="90"/>
      <c r="Y671" s="90"/>
      <c r="Z671" s="90"/>
    </row>
    <row r="672" spans="1:26" ht="15.75" customHeight="1">
      <c r="A672" s="90"/>
      <c r="B672" s="90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  <c r="W672" s="90"/>
      <c r="X672" s="90"/>
      <c r="Y672" s="90"/>
      <c r="Z672" s="90"/>
    </row>
    <row r="673" spans="1:26" ht="15.75" customHeight="1">
      <c r="A673" s="90"/>
      <c r="B673" s="90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  <c r="W673" s="90"/>
      <c r="X673" s="90"/>
      <c r="Y673" s="90"/>
      <c r="Z673" s="90"/>
    </row>
    <row r="674" spans="1:26" ht="15.75" customHeight="1">
      <c r="A674" s="90"/>
      <c r="B674" s="90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  <c r="W674" s="90"/>
      <c r="X674" s="90"/>
      <c r="Y674" s="90"/>
      <c r="Z674" s="90"/>
    </row>
    <row r="675" spans="1:26" ht="15.75" customHeight="1">
      <c r="A675" s="90"/>
      <c r="B675" s="90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  <c r="W675" s="90"/>
      <c r="X675" s="90"/>
      <c r="Y675" s="90"/>
      <c r="Z675" s="90"/>
    </row>
    <row r="676" spans="1:26" ht="15.75" customHeight="1">
      <c r="A676" s="90"/>
      <c r="B676" s="90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  <c r="W676" s="90"/>
      <c r="X676" s="90"/>
      <c r="Y676" s="90"/>
      <c r="Z676" s="90"/>
    </row>
    <row r="677" spans="1:26" ht="15.75" customHeight="1">
      <c r="A677" s="90"/>
      <c r="B677" s="90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  <c r="W677" s="90"/>
      <c r="X677" s="90"/>
      <c r="Y677" s="90"/>
      <c r="Z677" s="90"/>
    </row>
    <row r="678" spans="1:26" ht="15.75" customHeight="1">
      <c r="A678" s="90"/>
      <c r="B678" s="90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  <c r="W678" s="90"/>
      <c r="X678" s="90"/>
      <c r="Y678" s="90"/>
      <c r="Z678" s="90"/>
    </row>
    <row r="679" spans="1:26" ht="15.75" customHeight="1">
      <c r="A679" s="90"/>
      <c r="B679" s="90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  <c r="W679" s="90"/>
      <c r="X679" s="90"/>
      <c r="Y679" s="90"/>
      <c r="Z679" s="90"/>
    </row>
    <row r="680" spans="1:26" ht="15.75" customHeight="1">
      <c r="A680" s="90"/>
      <c r="B680" s="90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  <c r="W680" s="90"/>
      <c r="X680" s="90"/>
      <c r="Y680" s="90"/>
      <c r="Z680" s="90"/>
    </row>
    <row r="681" spans="1:26" ht="15.75" customHeight="1">
      <c r="A681" s="90"/>
      <c r="B681" s="90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  <c r="W681" s="90"/>
      <c r="X681" s="90"/>
      <c r="Y681" s="90"/>
      <c r="Z681" s="90"/>
    </row>
    <row r="682" spans="1:26" ht="15.75" customHeight="1">
      <c r="A682" s="90"/>
      <c r="B682" s="90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  <c r="W682" s="90"/>
      <c r="X682" s="90"/>
      <c r="Y682" s="90"/>
      <c r="Z682" s="90"/>
    </row>
    <row r="683" spans="1:26" ht="15.75" customHeight="1">
      <c r="A683" s="90"/>
      <c r="B683" s="90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  <c r="W683" s="90"/>
      <c r="X683" s="90"/>
      <c r="Y683" s="90"/>
      <c r="Z683" s="90"/>
    </row>
    <row r="684" spans="1:26" ht="15.75" customHeight="1">
      <c r="A684" s="90"/>
      <c r="B684" s="90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  <c r="W684" s="90"/>
      <c r="X684" s="90"/>
      <c r="Y684" s="90"/>
      <c r="Z684" s="90"/>
    </row>
    <row r="685" spans="1:26" ht="15.75" customHeight="1">
      <c r="A685" s="90"/>
      <c r="B685" s="90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  <c r="W685" s="90"/>
      <c r="X685" s="90"/>
      <c r="Y685" s="90"/>
      <c r="Z685" s="90"/>
    </row>
    <row r="686" spans="1:26" ht="15.75" customHeight="1">
      <c r="A686" s="90"/>
      <c r="B686" s="90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  <c r="W686" s="90"/>
      <c r="X686" s="90"/>
      <c r="Y686" s="90"/>
      <c r="Z686" s="90"/>
    </row>
    <row r="687" spans="1:26" ht="15.75" customHeight="1">
      <c r="A687" s="90"/>
      <c r="B687" s="90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  <c r="W687" s="90"/>
      <c r="X687" s="90"/>
      <c r="Y687" s="90"/>
      <c r="Z687" s="90"/>
    </row>
    <row r="688" spans="1:26" ht="15.75" customHeight="1">
      <c r="A688" s="90"/>
      <c r="B688" s="90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  <c r="W688" s="90"/>
      <c r="X688" s="90"/>
      <c r="Y688" s="90"/>
      <c r="Z688" s="90"/>
    </row>
    <row r="689" spans="1:26" ht="15.75" customHeight="1">
      <c r="A689" s="90"/>
      <c r="B689" s="90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  <c r="W689" s="90"/>
      <c r="X689" s="90"/>
      <c r="Y689" s="90"/>
      <c r="Z689" s="90"/>
    </row>
    <row r="690" spans="1:26" ht="15.75" customHeight="1">
      <c r="A690" s="90"/>
      <c r="B690" s="90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  <c r="W690" s="90"/>
      <c r="X690" s="90"/>
      <c r="Y690" s="90"/>
      <c r="Z690" s="90"/>
    </row>
    <row r="691" spans="1:26" ht="15.75" customHeight="1">
      <c r="A691" s="90"/>
      <c r="B691" s="90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  <c r="W691" s="90"/>
      <c r="X691" s="90"/>
      <c r="Y691" s="90"/>
      <c r="Z691" s="90"/>
    </row>
    <row r="692" spans="1:26" ht="15.75" customHeight="1">
      <c r="A692" s="90"/>
      <c r="B692" s="90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  <c r="W692" s="90"/>
      <c r="X692" s="90"/>
      <c r="Y692" s="90"/>
      <c r="Z692" s="90"/>
    </row>
    <row r="693" spans="1:26" ht="15.75" customHeight="1">
      <c r="A693" s="90"/>
      <c r="B693" s="90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  <c r="W693" s="90"/>
      <c r="X693" s="90"/>
      <c r="Y693" s="90"/>
      <c r="Z693" s="90"/>
    </row>
    <row r="694" spans="1:26" ht="15.75" customHeight="1">
      <c r="A694" s="90"/>
      <c r="B694" s="90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  <c r="W694" s="90"/>
      <c r="X694" s="90"/>
      <c r="Y694" s="90"/>
      <c r="Z694" s="90"/>
    </row>
    <row r="695" spans="1:26" ht="15.75" customHeight="1">
      <c r="A695" s="90"/>
      <c r="B695" s="90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  <c r="W695" s="90"/>
      <c r="X695" s="90"/>
      <c r="Y695" s="90"/>
      <c r="Z695" s="90"/>
    </row>
    <row r="696" spans="1:26" ht="15.75" customHeight="1">
      <c r="A696" s="90"/>
      <c r="B696" s="90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  <c r="W696" s="90"/>
      <c r="X696" s="90"/>
      <c r="Y696" s="90"/>
      <c r="Z696" s="90"/>
    </row>
    <row r="697" spans="1:26" ht="15.75" customHeight="1">
      <c r="A697" s="90"/>
      <c r="B697" s="90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  <c r="W697" s="90"/>
      <c r="X697" s="90"/>
      <c r="Y697" s="90"/>
      <c r="Z697" s="90"/>
    </row>
    <row r="698" spans="1:26" ht="15.75" customHeight="1">
      <c r="A698" s="90"/>
      <c r="B698" s="90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  <c r="W698" s="90"/>
      <c r="X698" s="90"/>
      <c r="Y698" s="90"/>
      <c r="Z698" s="90"/>
    </row>
    <row r="699" spans="1:26" ht="15.75" customHeight="1">
      <c r="A699" s="90"/>
      <c r="B699" s="90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  <c r="W699" s="90"/>
      <c r="X699" s="90"/>
      <c r="Y699" s="90"/>
      <c r="Z699" s="90"/>
    </row>
    <row r="700" spans="1:26" ht="15.75" customHeight="1">
      <c r="A700" s="90"/>
      <c r="B700" s="90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  <c r="W700" s="90"/>
      <c r="X700" s="90"/>
      <c r="Y700" s="90"/>
      <c r="Z700" s="90"/>
    </row>
    <row r="701" spans="1:26" ht="15.75" customHeight="1">
      <c r="A701" s="90"/>
      <c r="B701" s="90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  <c r="W701" s="90"/>
      <c r="X701" s="90"/>
      <c r="Y701" s="90"/>
      <c r="Z701" s="90"/>
    </row>
    <row r="702" spans="1:26" ht="15.75" customHeight="1">
      <c r="A702" s="90"/>
      <c r="B702" s="90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  <c r="W702" s="90"/>
      <c r="X702" s="90"/>
      <c r="Y702" s="90"/>
      <c r="Z702" s="90"/>
    </row>
    <row r="703" spans="1:26" ht="15.75" customHeight="1">
      <c r="A703" s="90"/>
      <c r="B703" s="90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  <c r="W703" s="90"/>
      <c r="X703" s="90"/>
      <c r="Y703" s="90"/>
      <c r="Z703" s="90"/>
    </row>
    <row r="704" spans="1:26" ht="15.75" customHeight="1">
      <c r="A704" s="90"/>
      <c r="B704" s="90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  <c r="W704" s="90"/>
      <c r="X704" s="90"/>
      <c r="Y704" s="90"/>
      <c r="Z704" s="90"/>
    </row>
    <row r="705" spans="1:26" ht="15.75" customHeight="1">
      <c r="A705" s="90"/>
      <c r="B705" s="90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  <c r="W705" s="90"/>
      <c r="X705" s="90"/>
      <c r="Y705" s="90"/>
      <c r="Z705" s="90"/>
    </row>
    <row r="706" spans="1:26" ht="15.75" customHeight="1">
      <c r="A706" s="90"/>
      <c r="B706" s="90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  <c r="W706" s="90"/>
      <c r="X706" s="90"/>
      <c r="Y706" s="90"/>
      <c r="Z706" s="90"/>
    </row>
    <row r="707" spans="1:26" ht="15.75" customHeight="1">
      <c r="A707" s="90"/>
      <c r="B707" s="90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  <c r="W707" s="90"/>
      <c r="X707" s="90"/>
      <c r="Y707" s="90"/>
      <c r="Z707" s="90"/>
    </row>
    <row r="708" spans="1:26" ht="15.75" customHeight="1">
      <c r="A708" s="90"/>
      <c r="B708" s="90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  <c r="W708" s="90"/>
      <c r="X708" s="90"/>
      <c r="Y708" s="90"/>
      <c r="Z708" s="90"/>
    </row>
    <row r="709" spans="1:26" ht="15.75" customHeight="1">
      <c r="A709" s="90"/>
      <c r="B709" s="90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  <c r="W709" s="90"/>
      <c r="X709" s="90"/>
      <c r="Y709" s="90"/>
      <c r="Z709" s="90"/>
    </row>
    <row r="710" spans="1:26" ht="15.75" customHeight="1">
      <c r="A710" s="90"/>
      <c r="B710" s="90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  <c r="W710" s="90"/>
      <c r="X710" s="90"/>
      <c r="Y710" s="90"/>
      <c r="Z710" s="90"/>
    </row>
    <row r="711" spans="1:26" ht="15.75" customHeight="1">
      <c r="A711" s="90"/>
      <c r="B711" s="90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  <c r="W711" s="90"/>
      <c r="X711" s="90"/>
      <c r="Y711" s="90"/>
      <c r="Z711" s="90"/>
    </row>
    <row r="712" spans="1:26" ht="15.75" customHeight="1">
      <c r="A712" s="90"/>
      <c r="B712" s="90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  <c r="W712" s="90"/>
      <c r="X712" s="90"/>
      <c r="Y712" s="90"/>
      <c r="Z712" s="90"/>
    </row>
    <row r="713" spans="1:26" ht="15.75" customHeight="1">
      <c r="A713" s="90"/>
      <c r="B713" s="90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  <c r="W713" s="90"/>
      <c r="X713" s="90"/>
      <c r="Y713" s="90"/>
      <c r="Z713" s="90"/>
    </row>
    <row r="714" spans="1:26" ht="15.75" customHeight="1">
      <c r="A714" s="90"/>
      <c r="B714" s="90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  <c r="W714" s="90"/>
      <c r="X714" s="90"/>
      <c r="Y714" s="90"/>
      <c r="Z714" s="90"/>
    </row>
    <row r="715" spans="1:26" ht="15.75" customHeight="1">
      <c r="A715" s="90"/>
      <c r="B715" s="90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  <c r="W715" s="90"/>
      <c r="X715" s="90"/>
      <c r="Y715" s="90"/>
      <c r="Z715" s="90"/>
    </row>
    <row r="716" spans="1:26" ht="15.75" customHeight="1">
      <c r="A716" s="90"/>
      <c r="B716" s="90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  <c r="W716" s="90"/>
      <c r="X716" s="90"/>
      <c r="Y716" s="90"/>
      <c r="Z716" s="90"/>
    </row>
    <row r="717" spans="1:26" ht="15.75" customHeight="1">
      <c r="A717" s="90"/>
      <c r="B717" s="90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  <c r="W717" s="90"/>
      <c r="X717" s="90"/>
      <c r="Y717" s="90"/>
      <c r="Z717" s="90"/>
    </row>
    <row r="718" spans="1:26" ht="15.75" customHeight="1">
      <c r="A718" s="90"/>
      <c r="B718" s="90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  <c r="W718" s="90"/>
      <c r="X718" s="90"/>
      <c r="Y718" s="90"/>
      <c r="Z718" s="90"/>
    </row>
    <row r="719" spans="1:26" ht="15.75" customHeight="1">
      <c r="A719" s="90"/>
      <c r="B719" s="90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  <c r="W719" s="90"/>
      <c r="X719" s="90"/>
      <c r="Y719" s="90"/>
      <c r="Z719" s="90"/>
    </row>
    <row r="720" spans="1:26" ht="15.75" customHeight="1">
      <c r="A720" s="90"/>
      <c r="B720" s="90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  <c r="W720" s="90"/>
      <c r="X720" s="90"/>
      <c r="Y720" s="90"/>
      <c r="Z720" s="90"/>
    </row>
    <row r="721" spans="1:26" ht="15.75" customHeight="1">
      <c r="A721" s="90"/>
      <c r="B721" s="90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  <c r="W721" s="90"/>
      <c r="X721" s="90"/>
      <c r="Y721" s="90"/>
      <c r="Z721" s="90"/>
    </row>
    <row r="722" spans="1:26" ht="15.75" customHeight="1">
      <c r="A722" s="90"/>
      <c r="B722" s="90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  <c r="W722" s="90"/>
      <c r="X722" s="90"/>
      <c r="Y722" s="90"/>
      <c r="Z722" s="90"/>
    </row>
    <row r="723" spans="1:26" ht="15.75" customHeight="1">
      <c r="A723" s="90"/>
      <c r="B723" s="90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  <c r="W723" s="90"/>
      <c r="X723" s="90"/>
      <c r="Y723" s="90"/>
      <c r="Z723" s="90"/>
    </row>
    <row r="724" spans="1:26" ht="15.75" customHeight="1">
      <c r="A724" s="90"/>
      <c r="B724" s="90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  <c r="W724" s="90"/>
      <c r="X724" s="90"/>
      <c r="Y724" s="90"/>
      <c r="Z724" s="90"/>
    </row>
    <row r="725" spans="1:26" ht="15.75" customHeight="1">
      <c r="A725" s="90"/>
      <c r="B725" s="90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  <c r="W725" s="90"/>
      <c r="X725" s="90"/>
      <c r="Y725" s="90"/>
      <c r="Z725" s="90"/>
    </row>
    <row r="726" spans="1:26" ht="15.75" customHeight="1">
      <c r="A726" s="90"/>
      <c r="B726" s="90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  <c r="W726" s="90"/>
      <c r="X726" s="90"/>
      <c r="Y726" s="90"/>
      <c r="Z726" s="90"/>
    </row>
    <row r="727" spans="1:26" ht="15.75" customHeight="1">
      <c r="A727" s="90"/>
      <c r="B727" s="90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  <c r="W727" s="90"/>
      <c r="X727" s="90"/>
      <c r="Y727" s="90"/>
      <c r="Z727" s="90"/>
    </row>
    <row r="728" spans="1:26" ht="15.75" customHeight="1">
      <c r="A728" s="90"/>
      <c r="B728" s="90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  <c r="W728" s="90"/>
      <c r="X728" s="90"/>
      <c r="Y728" s="90"/>
      <c r="Z728" s="90"/>
    </row>
    <row r="729" spans="1:26" ht="15.75" customHeight="1">
      <c r="A729" s="90"/>
      <c r="B729" s="90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  <c r="W729" s="90"/>
      <c r="X729" s="90"/>
      <c r="Y729" s="90"/>
      <c r="Z729" s="90"/>
    </row>
    <row r="730" spans="1:26" ht="15.75" customHeight="1">
      <c r="A730" s="90"/>
      <c r="B730" s="90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  <c r="W730" s="90"/>
      <c r="X730" s="90"/>
      <c r="Y730" s="90"/>
      <c r="Z730" s="90"/>
    </row>
    <row r="731" spans="1:26" ht="15.75" customHeight="1">
      <c r="A731" s="90"/>
      <c r="B731" s="90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  <c r="W731" s="90"/>
      <c r="X731" s="90"/>
      <c r="Y731" s="90"/>
      <c r="Z731" s="90"/>
    </row>
    <row r="732" spans="1:26" ht="15.75" customHeight="1">
      <c r="A732" s="90"/>
      <c r="B732" s="90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  <c r="W732" s="90"/>
      <c r="X732" s="90"/>
      <c r="Y732" s="90"/>
      <c r="Z732" s="90"/>
    </row>
    <row r="733" spans="1:26" ht="15.75" customHeight="1">
      <c r="A733" s="90"/>
      <c r="B733" s="90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  <c r="W733" s="90"/>
      <c r="X733" s="90"/>
      <c r="Y733" s="90"/>
      <c r="Z733" s="90"/>
    </row>
    <row r="734" spans="1:26" ht="15.75" customHeight="1">
      <c r="A734" s="90"/>
      <c r="B734" s="90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  <c r="W734" s="90"/>
      <c r="X734" s="90"/>
      <c r="Y734" s="90"/>
      <c r="Z734" s="90"/>
    </row>
    <row r="735" spans="1:26" ht="15.75" customHeight="1">
      <c r="A735" s="90"/>
      <c r="B735" s="90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  <c r="W735" s="90"/>
      <c r="X735" s="90"/>
      <c r="Y735" s="90"/>
      <c r="Z735" s="90"/>
    </row>
    <row r="736" spans="1:26" ht="15.75" customHeight="1">
      <c r="A736" s="90"/>
      <c r="B736" s="90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  <c r="W736" s="90"/>
      <c r="X736" s="90"/>
      <c r="Y736" s="90"/>
      <c r="Z736" s="90"/>
    </row>
    <row r="737" spans="1:26" ht="15.75" customHeight="1">
      <c r="A737" s="90"/>
      <c r="B737" s="90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  <c r="W737" s="90"/>
      <c r="X737" s="90"/>
      <c r="Y737" s="90"/>
      <c r="Z737" s="90"/>
    </row>
    <row r="738" spans="1:26" ht="15.75" customHeight="1">
      <c r="A738" s="90"/>
      <c r="B738" s="90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  <c r="W738" s="90"/>
      <c r="X738" s="90"/>
      <c r="Y738" s="90"/>
      <c r="Z738" s="90"/>
    </row>
    <row r="739" spans="1:26" ht="15.75" customHeight="1">
      <c r="A739" s="90"/>
      <c r="B739" s="90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  <c r="W739" s="90"/>
      <c r="X739" s="90"/>
      <c r="Y739" s="90"/>
      <c r="Z739" s="90"/>
    </row>
    <row r="740" spans="1:26" ht="15.75" customHeight="1">
      <c r="A740" s="90"/>
      <c r="B740" s="90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  <c r="W740" s="90"/>
      <c r="X740" s="90"/>
      <c r="Y740" s="90"/>
      <c r="Z740" s="90"/>
    </row>
    <row r="741" spans="1:26" ht="15.75" customHeight="1">
      <c r="A741" s="90"/>
      <c r="B741" s="90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  <c r="W741" s="90"/>
      <c r="X741" s="90"/>
      <c r="Y741" s="90"/>
      <c r="Z741" s="90"/>
    </row>
    <row r="742" spans="1:26" ht="15.75" customHeight="1">
      <c r="A742" s="90"/>
      <c r="B742" s="90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  <c r="W742" s="90"/>
      <c r="X742" s="90"/>
      <c r="Y742" s="90"/>
      <c r="Z742" s="90"/>
    </row>
    <row r="743" spans="1:26" ht="15.75" customHeight="1">
      <c r="A743" s="90"/>
      <c r="B743" s="90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  <c r="W743" s="90"/>
      <c r="X743" s="90"/>
      <c r="Y743" s="90"/>
      <c r="Z743" s="90"/>
    </row>
    <row r="744" spans="1:26" ht="15.75" customHeight="1">
      <c r="A744" s="90"/>
      <c r="B744" s="90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  <c r="W744" s="90"/>
      <c r="X744" s="90"/>
      <c r="Y744" s="90"/>
      <c r="Z744" s="90"/>
    </row>
    <row r="745" spans="1:26" ht="15.75" customHeight="1">
      <c r="A745" s="90"/>
      <c r="B745" s="90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  <c r="W745" s="90"/>
      <c r="X745" s="90"/>
      <c r="Y745" s="90"/>
      <c r="Z745" s="90"/>
    </row>
    <row r="746" spans="1:26" ht="15.75" customHeight="1">
      <c r="A746" s="90"/>
      <c r="B746" s="90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  <c r="W746" s="90"/>
      <c r="X746" s="90"/>
      <c r="Y746" s="90"/>
      <c r="Z746" s="90"/>
    </row>
    <row r="747" spans="1:26" ht="15.75" customHeight="1">
      <c r="A747" s="90"/>
      <c r="B747" s="90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  <c r="W747" s="90"/>
      <c r="X747" s="90"/>
      <c r="Y747" s="90"/>
      <c r="Z747" s="90"/>
    </row>
    <row r="748" spans="1:26" ht="15.75" customHeight="1">
      <c r="A748" s="90"/>
      <c r="B748" s="90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  <c r="W748" s="90"/>
      <c r="X748" s="90"/>
      <c r="Y748" s="90"/>
      <c r="Z748" s="90"/>
    </row>
    <row r="749" spans="1:26" ht="15.75" customHeight="1">
      <c r="A749" s="90"/>
      <c r="B749" s="90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  <c r="W749" s="90"/>
      <c r="X749" s="90"/>
      <c r="Y749" s="90"/>
      <c r="Z749" s="90"/>
    </row>
    <row r="750" spans="1:26" ht="15.75" customHeight="1">
      <c r="A750" s="90"/>
      <c r="B750" s="90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  <c r="W750" s="90"/>
      <c r="X750" s="90"/>
      <c r="Y750" s="90"/>
      <c r="Z750" s="90"/>
    </row>
    <row r="751" spans="1:26" ht="15.75" customHeight="1">
      <c r="A751" s="90"/>
      <c r="B751" s="90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  <c r="W751" s="90"/>
      <c r="X751" s="90"/>
      <c r="Y751" s="90"/>
      <c r="Z751" s="90"/>
    </row>
    <row r="752" spans="1:26" ht="15.75" customHeight="1">
      <c r="A752" s="90"/>
      <c r="B752" s="90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  <c r="W752" s="90"/>
      <c r="X752" s="90"/>
      <c r="Y752" s="90"/>
      <c r="Z752" s="90"/>
    </row>
    <row r="753" spans="1:26" ht="15.75" customHeight="1">
      <c r="A753" s="90"/>
      <c r="B753" s="90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  <c r="W753" s="90"/>
      <c r="X753" s="90"/>
      <c r="Y753" s="90"/>
      <c r="Z753" s="90"/>
    </row>
    <row r="754" spans="1:26" ht="15.75" customHeight="1">
      <c r="A754" s="90"/>
      <c r="B754" s="90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  <c r="W754" s="90"/>
      <c r="X754" s="90"/>
      <c r="Y754" s="90"/>
      <c r="Z754" s="90"/>
    </row>
    <row r="755" spans="1:26" ht="15.75" customHeight="1">
      <c r="A755" s="90"/>
      <c r="B755" s="90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  <c r="W755" s="90"/>
      <c r="X755" s="90"/>
      <c r="Y755" s="90"/>
      <c r="Z755" s="90"/>
    </row>
    <row r="756" spans="1:26" ht="15.75" customHeight="1">
      <c r="A756" s="90"/>
      <c r="B756" s="90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  <c r="W756" s="90"/>
      <c r="X756" s="90"/>
      <c r="Y756" s="90"/>
      <c r="Z756" s="90"/>
    </row>
    <row r="757" spans="1:26" ht="15.75" customHeight="1">
      <c r="A757" s="90"/>
      <c r="B757" s="90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  <c r="W757" s="90"/>
      <c r="X757" s="90"/>
      <c r="Y757" s="90"/>
      <c r="Z757" s="90"/>
    </row>
    <row r="758" spans="1:26" ht="15.75" customHeight="1">
      <c r="A758" s="90"/>
      <c r="B758" s="90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  <c r="W758" s="90"/>
      <c r="X758" s="90"/>
      <c r="Y758" s="90"/>
      <c r="Z758" s="90"/>
    </row>
    <row r="759" spans="1:26" ht="15.75" customHeight="1">
      <c r="A759" s="90"/>
      <c r="B759" s="90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  <c r="W759" s="90"/>
      <c r="X759" s="90"/>
      <c r="Y759" s="90"/>
      <c r="Z759" s="90"/>
    </row>
    <row r="760" spans="1:26" ht="15.75" customHeight="1">
      <c r="A760" s="90"/>
      <c r="B760" s="90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  <c r="W760" s="90"/>
      <c r="X760" s="90"/>
      <c r="Y760" s="90"/>
      <c r="Z760" s="90"/>
    </row>
    <row r="761" spans="1:26" ht="15.75" customHeight="1">
      <c r="A761" s="90"/>
      <c r="B761" s="90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  <c r="W761" s="90"/>
      <c r="X761" s="90"/>
      <c r="Y761" s="90"/>
      <c r="Z761" s="90"/>
    </row>
    <row r="762" spans="1:26" ht="15.75" customHeight="1">
      <c r="A762" s="90"/>
      <c r="B762" s="90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  <c r="W762" s="90"/>
      <c r="X762" s="90"/>
      <c r="Y762" s="90"/>
      <c r="Z762" s="90"/>
    </row>
    <row r="763" spans="1:26" ht="15.75" customHeight="1">
      <c r="A763" s="90"/>
      <c r="B763" s="90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  <c r="W763" s="90"/>
      <c r="X763" s="90"/>
      <c r="Y763" s="90"/>
      <c r="Z763" s="90"/>
    </row>
    <row r="764" spans="1:26" ht="15.75" customHeight="1">
      <c r="A764" s="90"/>
      <c r="B764" s="90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  <c r="W764" s="90"/>
      <c r="X764" s="90"/>
      <c r="Y764" s="90"/>
      <c r="Z764" s="90"/>
    </row>
    <row r="765" spans="1:26" ht="15.75" customHeight="1">
      <c r="A765" s="90"/>
      <c r="B765" s="90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</row>
    <row r="766" spans="1:26" ht="15.75" customHeight="1">
      <c r="A766" s="90"/>
      <c r="B766" s="90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  <c r="W766" s="90"/>
      <c r="X766" s="90"/>
      <c r="Y766" s="90"/>
      <c r="Z766" s="90"/>
    </row>
    <row r="767" spans="1:26" ht="15.75" customHeight="1">
      <c r="A767" s="90"/>
      <c r="B767" s="90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  <c r="W767" s="90"/>
      <c r="X767" s="90"/>
      <c r="Y767" s="90"/>
      <c r="Z767" s="90"/>
    </row>
    <row r="768" spans="1:26" ht="15.75" customHeight="1">
      <c r="A768" s="90"/>
      <c r="B768" s="90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  <c r="W768" s="90"/>
      <c r="X768" s="90"/>
      <c r="Y768" s="90"/>
      <c r="Z768" s="90"/>
    </row>
    <row r="769" spans="1:26" ht="15.75" customHeight="1">
      <c r="A769" s="90"/>
      <c r="B769" s="90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  <c r="W769" s="90"/>
      <c r="X769" s="90"/>
      <c r="Y769" s="90"/>
      <c r="Z769" s="90"/>
    </row>
    <row r="770" spans="1:26" ht="15.75" customHeight="1">
      <c r="A770" s="90"/>
      <c r="B770" s="90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  <c r="W770" s="90"/>
      <c r="X770" s="90"/>
      <c r="Y770" s="90"/>
      <c r="Z770" s="90"/>
    </row>
    <row r="771" spans="1:26" ht="15.75" customHeight="1">
      <c r="A771" s="90"/>
      <c r="B771" s="90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  <c r="W771" s="90"/>
      <c r="X771" s="90"/>
      <c r="Y771" s="90"/>
      <c r="Z771" s="90"/>
    </row>
    <row r="772" spans="1:26" ht="15.75" customHeight="1">
      <c r="A772" s="90"/>
      <c r="B772" s="90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  <c r="W772" s="90"/>
      <c r="X772" s="90"/>
      <c r="Y772" s="90"/>
      <c r="Z772" s="90"/>
    </row>
    <row r="773" spans="1:26" ht="15.75" customHeight="1">
      <c r="A773" s="90"/>
      <c r="B773" s="90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  <c r="W773" s="90"/>
      <c r="X773" s="90"/>
      <c r="Y773" s="90"/>
      <c r="Z773" s="90"/>
    </row>
    <row r="774" spans="1:26" ht="15.75" customHeight="1">
      <c r="A774" s="90"/>
      <c r="B774" s="90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  <c r="W774" s="90"/>
      <c r="X774" s="90"/>
      <c r="Y774" s="90"/>
      <c r="Z774" s="90"/>
    </row>
    <row r="775" spans="1:26" ht="15.75" customHeight="1">
      <c r="A775" s="90"/>
      <c r="B775" s="90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  <c r="W775" s="90"/>
      <c r="X775" s="90"/>
      <c r="Y775" s="90"/>
      <c r="Z775" s="90"/>
    </row>
    <row r="776" spans="1:26" ht="15.75" customHeight="1">
      <c r="A776" s="90"/>
      <c r="B776" s="90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  <c r="W776" s="90"/>
      <c r="X776" s="90"/>
      <c r="Y776" s="90"/>
      <c r="Z776" s="90"/>
    </row>
    <row r="777" spans="1:26" ht="15.75" customHeight="1">
      <c r="A777" s="90"/>
      <c r="B777" s="90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  <c r="W777" s="90"/>
      <c r="X777" s="90"/>
      <c r="Y777" s="90"/>
      <c r="Z777" s="90"/>
    </row>
    <row r="778" spans="1:26" ht="15.75" customHeight="1">
      <c r="A778" s="90"/>
      <c r="B778" s="90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  <c r="W778" s="90"/>
      <c r="X778" s="90"/>
      <c r="Y778" s="90"/>
      <c r="Z778" s="90"/>
    </row>
    <row r="779" spans="1:26" ht="15.75" customHeight="1">
      <c r="A779" s="90"/>
      <c r="B779" s="90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  <c r="W779" s="90"/>
      <c r="X779" s="90"/>
      <c r="Y779" s="90"/>
      <c r="Z779" s="90"/>
    </row>
    <row r="780" spans="1:26" ht="15.75" customHeight="1">
      <c r="A780" s="90"/>
      <c r="B780" s="90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  <c r="W780" s="90"/>
      <c r="X780" s="90"/>
      <c r="Y780" s="90"/>
      <c r="Z780" s="90"/>
    </row>
    <row r="781" spans="1:26" ht="15.75" customHeight="1">
      <c r="A781" s="90"/>
      <c r="B781" s="90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  <c r="W781" s="90"/>
      <c r="X781" s="90"/>
      <c r="Y781" s="90"/>
      <c r="Z781" s="90"/>
    </row>
    <row r="782" spans="1:26" ht="15.75" customHeight="1">
      <c r="A782" s="90"/>
      <c r="B782" s="90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  <c r="W782" s="90"/>
      <c r="X782" s="90"/>
      <c r="Y782" s="90"/>
      <c r="Z782" s="90"/>
    </row>
    <row r="783" spans="1:26" ht="15.75" customHeight="1">
      <c r="A783" s="90"/>
      <c r="B783" s="90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  <c r="W783" s="90"/>
      <c r="X783" s="90"/>
      <c r="Y783" s="90"/>
      <c r="Z783" s="90"/>
    </row>
    <row r="784" spans="1:26" ht="15.75" customHeight="1">
      <c r="A784" s="90"/>
      <c r="B784" s="90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  <c r="W784" s="90"/>
      <c r="X784" s="90"/>
      <c r="Y784" s="90"/>
      <c r="Z784" s="90"/>
    </row>
    <row r="785" spans="1:26" ht="15.75" customHeight="1">
      <c r="A785" s="90"/>
      <c r="B785" s="90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  <c r="W785" s="90"/>
      <c r="X785" s="90"/>
      <c r="Y785" s="90"/>
      <c r="Z785" s="90"/>
    </row>
    <row r="786" spans="1:26" ht="15.75" customHeight="1">
      <c r="A786" s="90"/>
      <c r="B786" s="90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  <c r="W786" s="90"/>
      <c r="X786" s="90"/>
      <c r="Y786" s="90"/>
      <c r="Z786" s="90"/>
    </row>
    <row r="787" spans="1:26" ht="15.75" customHeight="1">
      <c r="A787" s="90"/>
      <c r="B787" s="90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  <c r="W787" s="90"/>
      <c r="X787" s="90"/>
      <c r="Y787" s="90"/>
      <c r="Z787" s="90"/>
    </row>
    <row r="788" spans="1:26" ht="15.75" customHeight="1">
      <c r="A788" s="90"/>
      <c r="B788" s="90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  <c r="W788" s="90"/>
      <c r="X788" s="90"/>
      <c r="Y788" s="90"/>
      <c r="Z788" s="90"/>
    </row>
    <row r="789" spans="1:26" ht="15.75" customHeight="1">
      <c r="A789" s="90"/>
      <c r="B789" s="90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  <c r="W789" s="90"/>
      <c r="X789" s="90"/>
      <c r="Y789" s="90"/>
      <c r="Z789" s="90"/>
    </row>
    <row r="790" spans="1:26" ht="15.75" customHeight="1">
      <c r="A790" s="90"/>
      <c r="B790" s="90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  <c r="W790" s="90"/>
      <c r="X790" s="90"/>
      <c r="Y790" s="90"/>
      <c r="Z790" s="90"/>
    </row>
    <row r="791" spans="1:26" ht="15.75" customHeight="1">
      <c r="A791" s="90"/>
      <c r="B791" s="90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  <c r="W791" s="90"/>
      <c r="X791" s="90"/>
      <c r="Y791" s="90"/>
      <c r="Z791" s="90"/>
    </row>
    <row r="792" spans="1:26" ht="15.75" customHeight="1">
      <c r="A792" s="90"/>
      <c r="B792" s="90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  <c r="W792" s="90"/>
      <c r="X792" s="90"/>
      <c r="Y792" s="90"/>
      <c r="Z792" s="90"/>
    </row>
    <row r="793" spans="1:26" ht="15.75" customHeight="1">
      <c r="A793" s="90"/>
      <c r="B793" s="90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  <c r="W793" s="90"/>
      <c r="X793" s="90"/>
      <c r="Y793" s="90"/>
      <c r="Z793" s="90"/>
    </row>
    <row r="794" spans="1:26" ht="15.75" customHeight="1">
      <c r="A794" s="90"/>
      <c r="B794" s="90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  <c r="W794" s="90"/>
      <c r="X794" s="90"/>
      <c r="Y794" s="90"/>
      <c r="Z794" s="90"/>
    </row>
    <row r="795" spans="1:26" ht="15.75" customHeight="1">
      <c r="A795" s="90"/>
      <c r="B795" s="90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  <c r="W795" s="90"/>
      <c r="X795" s="90"/>
      <c r="Y795" s="90"/>
      <c r="Z795" s="90"/>
    </row>
    <row r="796" spans="1:26" ht="15.75" customHeight="1">
      <c r="A796" s="90"/>
      <c r="B796" s="90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  <c r="W796" s="90"/>
      <c r="X796" s="90"/>
      <c r="Y796" s="90"/>
      <c r="Z796" s="90"/>
    </row>
    <row r="797" spans="1:26" ht="15.75" customHeight="1">
      <c r="A797" s="90"/>
      <c r="B797" s="90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  <c r="W797" s="90"/>
      <c r="X797" s="90"/>
      <c r="Y797" s="90"/>
      <c r="Z797" s="90"/>
    </row>
    <row r="798" spans="1:26" ht="15.75" customHeight="1">
      <c r="A798" s="90"/>
      <c r="B798" s="90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  <c r="W798" s="90"/>
      <c r="X798" s="90"/>
      <c r="Y798" s="90"/>
      <c r="Z798" s="90"/>
    </row>
    <row r="799" spans="1:26" ht="15.75" customHeight="1">
      <c r="A799" s="90"/>
      <c r="B799" s="90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  <c r="W799" s="90"/>
      <c r="X799" s="90"/>
      <c r="Y799" s="90"/>
      <c r="Z799" s="90"/>
    </row>
    <row r="800" spans="1:26" ht="15.75" customHeight="1">
      <c r="A800" s="90"/>
      <c r="B800" s="90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  <c r="W800" s="90"/>
      <c r="X800" s="90"/>
      <c r="Y800" s="90"/>
      <c r="Z800" s="90"/>
    </row>
    <row r="801" spans="1:26" ht="15.75" customHeight="1">
      <c r="A801" s="90"/>
      <c r="B801" s="90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  <c r="W801" s="90"/>
      <c r="X801" s="90"/>
      <c r="Y801" s="90"/>
      <c r="Z801" s="90"/>
    </row>
    <row r="802" spans="1:26" ht="15.75" customHeight="1">
      <c r="A802" s="90"/>
      <c r="B802" s="90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  <c r="W802" s="90"/>
      <c r="X802" s="90"/>
      <c r="Y802" s="90"/>
      <c r="Z802" s="90"/>
    </row>
    <row r="803" spans="1:26" ht="15.75" customHeight="1">
      <c r="A803" s="90"/>
      <c r="B803" s="90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  <c r="W803" s="90"/>
      <c r="X803" s="90"/>
      <c r="Y803" s="90"/>
      <c r="Z803" s="90"/>
    </row>
    <row r="804" spans="1:26" ht="15.75" customHeight="1">
      <c r="A804" s="90"/>
      <c r="B804" s="90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  <c r="W804" s="90"/>
      <c r="X804" s="90"/>
      <c r="Y804" s="90"/>
      <c r="Z804" s="90"/>
    </row>
    <row r="805" spans="1:26" ht="15.75" customHeight="1">
      <c r="A805" s="90"/>
      <c r="B805" s="90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  <c r="W805" s="90"/>
      <c r="X805" s="90"/>
      <c r="Y805" s="90"/>
      <c r="Z805" s="90"/>
    </row>
    <row r="806" spans="1:26" ht="15.75" customHeight="1">
      <c r="A806" s="90"/>
      <c r="B806" s="90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  <c r="W806" s="90"/>
      <c r="X806" s="90"/>
      <c r="Y806" s="90"/>
      <c r="Z806" s="90"/>
    </row>
    <row r="807" spans="1:26" ht="15.75" customHeight="1">
      <c r="A807" s="90"/>
      <c r="B807" s="90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  <c r="W807" s="90"/>
      <c r="X807" s="90"/>
      <c r="Y807" s="90"/>
      <c r="Z807" s="90"/>
    </row>
    <row r="808" spans="1:26" ht="15.75" customHeight="1">
      <c r="A808" s="90"/>
      <c r="B808" s="90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  <c r="W808" s="90"/>
      <c r="X808" s="90"/>
      <c r="Y808" s="90"/>
      <c r="Z808" s="90"/>
    </row>
    <row r="809" spans="1:26" ht="15.75" customHeight="1">
      <c r="A809" s="90"/>
      <c r="B809" s="90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  <c r="W809" s="90"/>
      <c r="X809" s="90"/>
      <c r="Y809" s="90"/>
      <c r="Z809" s="90"/>
    </row>
    <row r="810" spans="1:26" ht="15.75" customHeight="1">
      <c r="A810" s="90"/>
      <c r="B810" s="90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  <c r="W810" s="90"/>
      <c r="X810" s="90"/>
      <c r="Y810" s="90"/>
      <c r="Z810" s="90"/>
    </row>
    <row r="811" spans="1:26" ht="15.75" customHeight="1">
      <c r="A811" s="90"/>
      <c r="B811" s="90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  <c r="W811" s="90"/>
      <c r="X811" s="90"/>
      <c r="Y811" s="90"/>
      <c r="Z811" s="90"/>
    </row>
    <row r="812" spans="1:26" ht="15.75" customHeight="1">
      <c r="A812" s="90"/>
      <c r="B812" s="90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  <c r="W812" s="90"/>
      <c r="X812" s="90"/>
      <c r="Y812" s="90"/>
      <c r="Z812" s="90"/>
    </row>
    <row r="813" spans="1:26" ht="15.75" customHeight="1">
      <c r="A813" s="90"/>
      <c r="B813" s="90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  <c r="W813" s="90"/>
      <c r="X813" s="90"/>
      <c r="Y813" s="90"/>
      <c r="Z813" s="90"/>
    </row>
    <row r="814" spans="1:26" ht="15.75" customHeight="1">
      <c r="A814" s="90"/>
      <c r="B814" s="90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  <c r="W814" s="90"/>
      <c r="X814" s="90"/>
      <c r="Y814" s="90"/>
      <c r="Z814" s="90"/>
    </row>
    <row r="815" spans="1:26" ht="15.75" customHeight="1">
      <c r="A815" s="90"/>
      <c r="B815" s="90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  <c r="W815" s="90"/>
      <c r="X815" s="90"/>
      <c r="Y815" s="90"/>
      <c r="Z815" s="90"/>
    </row>
    <row r="816" spans="1:26" ht="15.75" customHeight="1">
      <c r="A816" s="90"/>
      <c r="B816" s="90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  <c r="W816" s="90"/>
      <c r="X816" s="90"/>
      <c r="Y816" s="90"/>
      <c r="Z816" s="90"/>
    </row>
    <row r="817" spans="1:26" ht="15.75" customHeight="1">
      <c r="A817" s="90"/>
      <c r="B817" s="90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  <c r="W817" s="90"/>
      <c r="X817" s="90"/>
      <c r="Y817" s="90"/>
      <c r="Z817" s="90"/>
    </row>
    <row r="818" spans="1:26" ht="15.75" customHeight="1">
      <c r="A818" s="90"/>
      <c r="B818" s="90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  <c r="W818" s="90"/>
      <c r="X818" s="90"/>
      <c r="Y818" s="90"/>
      <c r="Z818" s="90"/>
    </row>
    <row r="819" spans="1:26" ht="15.75" customHeight="1">
      <c r="A819" s="90"/>
      <c r="B819" s="90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  <c r="W819" s="90"/>
      <c r="X819" s="90"/>
      <c r="Y819" s="90"/>
      <c r="Z819" s="90"/>
    </row>
    <row r="820" spans="1:26" ht="15.75" customHeight="1">
      <c r="A820" s="90"/>
      <c r="B820" s="90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  <c r="W820" s="90"/>
      <c r="X820" s="90"/>
      <c r="Y820" s="90"/>
      <c r="Z820" s="90"/>
    </row>
    <row r="821" spans="1:26" ht="15.75" customHeight="1">
      <c r="A821" s="90"/>
      <c r="B821" s="90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  <c r="W821" s="90"/>
      <c r="X821" s="90"/>
      <c r="Y821" s="90"/>
      <c r="Z821" s="90"/>
    </row>
    <row r="822" spans="1:26" ht="15.75" customHeight="1">
      <c r="A822" s="90"/>
      <c r="B822" s="90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  <c r="W822" s="90"/>
      <c r="X822" s="90"/>
      <c r="Y822" s="90"/>
      <c r="Z822" s="90"/>
    </row>
    <row r="823" spans="1:26" ht="15.75" customHeight="1">
      <c r="A823" s="90"/>
      <c r="B823" s="90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  <c r="W823" s="90"/>
      <c r="X823" s="90"/>
      <c r="Y823" s="90"/>
      <c r="Z823" s="90"/>
    </row>
    <row r="824" spans="1:26" ht="15.75" customHeight="1">
      <c r="A824" s="90"/>
      <c r="B824" s="90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  <c r="W824" s="90"/>
      <c r="X824" s="90"/>
      <c r="Y824" s="90"/>
      <c r="Z824" s="90"/>
    </row>
    <row r="825" spans="1:26" ht="15.75" customHeight="1">
      <c r="A825" s="90"/>
      <c r="B825" s="90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  <c r="W825" s="90"/>
      <c r="X825" s="90"/>
      <c r="Y825" s="90"/>
      <c r="Z825" s="90"/>
    </row>
    <row r="826" spans="1:26" ht="15.75" customHeight="1">
      <c r="A826" s="90"/>
      <c r="B826" s="90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  <c r="W826" s="90"/>
      <c r="X826" s="90"/>
      <c r="Y826" s="90"/>
      <c r="Z826" s="90"/>
    </row>
    <row r="827" spans="1:26" ht="15.75" customHeight="1">
      <c r="A827" s="90"/>
      <c r="B827" s="90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  <c r="W827" s="90"/>
      <c r="X827" s="90"/>
      <c r="Y827" s="90"/>
      <c r="Z827" s="90"/>
    </row>
    <row r="828" spans="1:26" ht="15.75" customHeight="1">
      <c r="A828" s="90"/>
      <c r="B828" s="90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  <c r="W828" s="90"/>
      <c r="X828" s="90"/>
      <c r="Y828" s="90"/>
      <c r="Z828" s="90"/>
    </row>
    <row r="829" spans="1:26" ht="15.75" customHeight="1">
      <c r="A829" s="90"/>
      <c r="B829" s="90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  <c r="W829" s="90"/>
      <c r="X829" s="90"/>
      <c r="Y829" s="90"/>
      <c r="Z829" s="90"/>
    </row>
    <row r="830" spans="1:26" ht="15.75" customHeight="1">
      <c r="A830" s="90"/>
      <c r="B830" s="90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  <c r="W830" s="90"/>
      <c r="X830" s="90"/>
      <c r="Y830" s="90"/>
      <c r="Z830" s="90"/>
    </row>
    <row r="831" spans="1:26" ht="15.75" customHeight="1">
      <c r="A831" s="90"/>
      <c r="B831" s="90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  <c r="W831" s="90"/>
      <c r="X831" s="90"/>
      <c r="Y831" s="90"/>
      <c r="Z831" s="90"/>
    </row>
    <row r="832" spans="1:26" ht="15.75" customHeight="1">
      <c r="A832" s="90"/>
      <c r="B832" s="90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  <c r="W832" s="90"/>
      <c r="X832" s="90"/>
      <c r="Y832" s="90"/>
      <c r="Z832" s="90"/>
    </row>
    <row r="833" spans="1:26" ht="15.75" customHeight="1">
      <c r="A833" s="90"/>
      <c r="B833" s="90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  <c r="W833" s="90"/>
      <c r="X833" s="90"/>
      <c r="Y833" s="90"/>
      <c r="Z833" s="90"/>
    </row>
    <row r="834" spans="1:26" ht="15.75" customHeight="1">
      <c r="A834" s="90"/>
      <c r="B834" s="90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  <c r="W834" s="90"/>
      <c r="X834" s="90"/>
      <c r="Y834" s="90"/>
      <c r="Z834" s="90"/>
    </row>
    <row r="835" spans="1:26" ht="15.75" customHeight="1">
      <c r="A835" s="90"/>
      <c r="B835" s="90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  <c r="W835" s="90"/>
      <c r="X835" s="90"/>
      <c r="Y835" s="90"/>
      <c r="Z835" s="90"/>
    </row>
    <row r="836" spans="1:26" ht="15.75" customHeight="1">
      <c r="A836" s="90"/>
      <c r="B836" s="90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  <c r="W836" s="90"/>
      <c r="X836" s="90"/>
      <c r="Y836" s="90"/>
      <c r="Z836" s="90"/>
    </row>
    <row r="837" spans="1:26" ht="15.75" customHeight="1">
      <c r="A837" s="90"/>
      <c r="B837" s="90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  <c r="W837" s="90"/>
      <c r="X837" s="90"/>
      <c r="Y837" s="90"/>
      <c r="Z837" s="90"/>
    </row>
    <row r="838" spans="1:26" ht="15.75" customHeight="1">
      <c r="A838" s="90"/>
      <c r="B838" s="90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  <c r="W838" s="90"/>
      <c r="X838" s="90"/>
      <c r="Y838" s="90"/>
      <c r="Z838" s="90"/>
    </row>
    <row r="839" spans="1:26" ht="15.75" customHeight="1">
      <c r="A839" s="90"/>
      <c r="B839" s="90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  <c r="W839" s="90"/>
      <c r="X839" s="90"/>
      <c r="Y839" s="90"/>
      <c r="Z839" s="90"/>
    </row>
    <row r="840" spans="1:26" ht="15.75" customHeight="1">
      <c r="A840" s="90"/>
      <c r="B840" s="90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  <c r="W840" s="90"/>
      <c r="X840" s="90"/>
      <c r="Y840" s="90"/>
      <c r="Z840" s="90"/>
    </row>
    <row r="841" spans="1:26" ht="15.75" customHeight="1">
      <c r="A841" s="90"/>
      <c r="B841" s="90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  <c r="W841" s="90"/>
      <c r="X841" s="90"/>
      <c r="Y841" s="90"/>
      <c r="Z841" s="90"/>
    </row>
    <row r="842" spans="1:26" ht="15.75" customHeight="1">
      <c r="A842" s="90"/>
      <c r="B842" s="90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  <c r="W842" s="90"/>
      <c r="X842" s="90"/>
      <c r="Y842" s="90"/>
      <c r="Z842" s="90"/>
    </row>
    <row r="843" spans="1:26" ht="15.75" customHeight="1">
      <c r="A843" s="90"/>
      <c r="B843" s="90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  <c r="W843" s="90"/>
      <c r="X843" s="90"/>
      <c r="Y843" s="90"/>
      <c r="Z843" s="90"/>
    </row>
    <row r="844" spans="1:26" ht="15.75" customHeight="1">
      <c r="A844" s="90"/>
      <c r="B844" s="90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  <c r="W844" s="90"/>
      <c r="X844" s="90"/>
      <c r="Y844" s="90"/>
      <c r="Z844" s="90"/>
    </row>
    <row r="845" spans="1:26" ht="15.75" customHeight="1">
      <c r="A845" s="90"/>
      <c r="B845" s="90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  <c r="W845" s="90"/>
      <c r="X845" s="90"/>
      <c r="Y845" s="90"/>
      <c r="Z845" s="90"/>
    </row>
    <row r="846" spans="1:26" ht="15.75" customHeight="1">
      <c r="A846" s="90"/>
      <c r="B846" s="90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  <c r="W846" s="90"/>
      <c r="X846" s="90"/>
      <c r="Y846" s="90"/>
      <c r="Z846" s="90"/>
    </row>
    <row r="847" spans="1:26" ht="15.75" customHeight="1">
      <c r="A847" s="90"/>
      <c r="B847" s="90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  <c r="W847" s="90"/>
      <c r="X847" s="90"/>
      <c r="Y847" s="90"/>
      <c r="Z847" s="90"/>
    </row>
    <row r="848" spans="1:26" ht="15.75" customHeight="1">
      <c r="A848" s="90"/>
      <c r="B848" s="90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  <c r="W848" s="90"/>
      <c r="X848" s="90"/>
      <c r="Y848" s="90"/>
      <c r="Z848" s="90"/>
    </row>
    <row r="849" spans="1:26" ht="15.75" customHeight="1">
      <c r="A849" s="90"/>
      <c r="B849" s="90"/>
      <c r="C849" s="90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  <c r="W849" s="90"/>
      <c r="X849" s="90"/>
      <c r="Y849" s="90"/>
      <c r="Z849" s="90"/>
    </row>
    <row r="850" spans="1:26" ht="15.75" customHeight="1">
      <c r="A850" s="90"/>
      <c r="B850" s="90"/>
      <c r="C850" s="90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  <c r="W850" s="90"/>
      <c r="X850" s="90"/>
      <c r="Y850" s="90"/>
      <c r="Z850" s="90"/>
    </row>
    <row r="851" spans="1:26" ht="15.75" customHeight="1">
      <c r="A851" s="90"/>
      <c r="B851" s="90"/>
      <c r="C851" s="90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  <c r="W851" s="90"/>
      <c r="X851" s="90"/>
      <c r="Y851" s="90"/>
      <c r="Z851" s="90"/>
    </row>
    <row r="852" spans="1:26" ht="15.75" customHeight="1">
      <c r="A852" s="90"/>
      <c r="B852" s="90"/>
      <c r="C852" s="90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  <c r="W852" s="90"/>
      <c r="X852" s="90"/>
      <c r="Y852" s="90"/>
      <c r="Z852" s="90"/>
    </row>
    <row r="853" spans="1:26" ht="15.75" customHeight="1">
      <c r="A853" s="90"/>
      <c r="B853" s="90"/>
      <c r="C853" s="90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  <c r="W853" s="90"/>
      <c r="X853" s="90"/>
      <c r="Y853" s="90"/>
      <c r="Z853" s="90"/>
    </row>
    <row r="854" spans="1:26" ht="15.75" customHeight="1">
      <c r="A854" s="90"/>
      <c r="B854" s="90"/>
      <c r="C854" s="90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  <c r="W854" s="90"/>
      <c r="X854" s="90"/>
      <c r="Y854" s="90"/>
      <c r="Z854" s="90"/>
    </row>
    <row r="855" spans="1:26" ht="15.75" customHeight="1">
      <c r="A855" s="90"/>
      <c r="B855" s="90"/>
      <c r="C855" s="90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  <c r="W855" s="90"/>
      <c r="X855" s="90"/>
      <c r="Y855" s="90"/>
      <c r="Z855" s="90"/>
    </row>
    <row r="856" spans="1:26" ht="15.75" customHeight="1">
      <c r="A856" s="90"/>
      <c r="B856" s="90"/>
      <c r="C856" s="90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  <c r="W856" s="90"/>
      <c r="X856" s="90"/>
      <c r="Y856" s="90"/>
      <c r="Z856" s="90"/>
    </row>
    <row r="857" spans="1:26" ht="15.75" customHeight="1">
      <c r="A857" s="90"/>
      <c r="B857" s="90"/>
      <c r="C857" s="90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  <c r="W857" s="90"/>
      <c r="X857" s="90"/>
      <c r="Y857" s="90"/>
      <c r="Z857" s="90"/>
    </row>
    <row r="858" spans="1:26" ht="15.75" customHeight="1">
      <c r="A858" s="90"/>
      <c r="B858" s="90"/>
      <c r="C858" s="90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  <c r="W858" s="90"/>
      <c r="X858" s="90"/>
      <c r="Y858" s="90"/>
      <c r="Z858" s="90"/>
    </row>
    <row r="859" spans="1:26" ht="15.75" customHeight="1">
      <c r="A859" s="90"/>
      <c r="B859" s="90"/>
      <c r="C859" s="90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  <c r="W859" s="90"/>
      <c r="X859" s="90"/>
      <c r="Y859" s="90"/>
      <c r="Z859" s="90"/>
    </row>
    <row r="860" spans="1:26" ht="15.75" customHeight="1">
      <c r="A860" s="90"/>
      <c r="B860" s="90"/>
      <c r="C860" s="90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  <c r="W860" s="90"/>
      <c r="X860" s="90"/>
      <c r="Y860" s="90"/>
      <c r="Z860" s="90"/>
    </row>
    <row r="861" spans="1:26" ht="15.75" customHeight="1">
      <c r="A861" s="90"/>
      <c r="B861" s="90"/>
      <c r="C861" s="90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  <c r="W861" s="90"/>
      <c r="X861" s="90"/>
      <c r="Y861" s="90"/>
      <c r="Z861" s="90"/>
    </row>
    <row r="862" spans="1:26" ht="15.75" customHeight="1">
      <c r="A862" s="90"/>
      <c r="B862" s="90"/>
      <c r="C862" s="90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  <c r="W862" s="90"/>
      <c r="X862" s="90"/>
      <c r="Y862" s="90"/>
      <c r="Z862" s="90"/>
    </row>
    <row r="863" spans="1:26" ht="15.75" customHeight="1">
      <c r="A863" s="90"/>
      <c r="B863" s="90"/>
      <c r="C863" s="90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  <c r="W863" s="90"/>
      <c r="X863" s="90"/>
      <c r="Y863" s="90"/>
      <c r="Z863" s="90"/>
    </row>
    <row r="864" spans="1:26" ht="15.75" customHeight="1">
      <c r="A864" s="90"/>
      <c r="B864" s="90"/>
      <c r="C864" s="90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  <c r="W864" s="90"/>
      <c r="X864" s="90"/>
      <c r="Y864" s="90"/>
      <c r="Z864" s="90"/>
    </row>
    <row r="865" spans="1:26" ht="15.75" customHeight="1">
      <c r="A865" s="90"/>
      <c r="B865" s="90"/>
      <c r="C865" s="90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  <c r="W865" s="90"/>
      <c r="X865" s="90"/>
      <c r="Y865" s="90"/>
      <c r="Z865" s="90"/>
    </row>
    <row r="866" spans="1:26" ht="15.75" customHeight="1">
      <c r="A866" s="90"/>
      <c r="B866" s="90"/>
      <c r="C866" s="90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  <c r="W866" s="90"/>
      <c r="X866" s="90"/>
      <c r="Y866" s="90"/>
      <c r="Z866" s="90"/>
    </row>
    <row r="867" spans="1:26" ht="15.75" customHeight="1">
      <c r="A867" s="90"/>
      <c r="B867" s="90"/>
      <c r="C867" s="90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  <c r="W867" s="90"/>
      <c r="X867" s="90"/>
      <c r="Y867" s="90"/>
      <c r="Z867" s="90"/>
    </row>
    <row r="868" spans="1:26" ht="15.75" customHeight="1">
      <c r="A868" s="90"/>
      <c r="B868" s="90"/>
      <c r="C868" s="90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  <c r="W868" s="90"/>
      <c r="X868" s="90"/>
      <c r="Y868" s="90"/>
      <c r="Z868" s="90"/>
    </row>
    <row r="869" spans="1:26" ht="15.75" customHeight="1">
      <c r="A869" s="90"/>
      <c r="B869" s="90"/>
      <c r="C869" s="90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  <c r="W869" s="90"/>
      <c r="X869" s="90"/>
      <c r="Y869" s="90"/>
      <c r="Z869" s="90"/>
    </row>
    <row r="870" spans="1:26" ht="15.75" customHeight="1">
      <c r="A870" s="90"/>
      <c r="B870" s="90"/>
      <c r="C870" s="90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  <c r="W870" s="90"/>
      <c r="X870" s="90"/>
      <c r="Y870" s="90"/>
      <c r="Z870" s="90"/>
    </row>
    <row r="871" spans="1:26" ht="15.75" customHeight="1">
      <c r="A871" s="90"/>
      <c r="B871" s="90"/>
      <c r="C871" s="90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  <c r="W871" s="90"/>
      <c r="X871" s="90"/>
      <c r="Y871" s="90"/>
      <c r="Z871" s="90"/>
    </row>
    <row r="872" spans="1:26" ht="15.75" customHeight="1">
      <c r="A872" s="90"/>
      <c r="B872" s="90"/>
      <c r="C872" s="90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  <c r="W872" s="90"/>
      <c r="X872" s="90"/>
      <c r="Y872" s="90"/>
      <c r="Z872" s="90"/>
    </row>
    <row r="873" spans="1:26" ht="15.75" customHeight="1">
      <c r="A873" s="90"/>
      <c r="B873" s="90"/>
      <c r="C873" s="90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  <c r="W873" s="90"/>
      <c r="X873" s="90"/>
      <c r="Y873" s="90"/>
      <c r="Z873" s="90"/>
    </row>
    <row r="874" spans="1:26" ht="15.75" customHeight="1">
      <c r="A874" s="90"/>
      <c r="B874" s="90"/>
      <c r="C874" s="90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  <c r="W874" s="90"/>
      <c r="X874" s="90"/>
      <c r="Y874" s="90"/>
      <c r="Z874" s="90"/>
    </row>
    <row r="875" spans="1:26" ht="15.75" customHeight="1">
      <c r="A875" s="90"/>
      <c r="B875" s="90"/>
      <c r="C875" s="90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  <c r="W875" s="90"/>
      <c r="X875" s="90"/>
      <c r="Y875" s="90"/>
      <c r="Z875" s="90"/>
    </row>
    <row r="876" spans="1:26" ht="15.75" customHeight="1">
      <c r="A876" s="90"/>
      <c r="B876" s="90"/>
      <c r="C876" s="90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  <c r="W876" s="90"/>
      <c r="X876" s="90"/>
      <c r="Y876" s="90"/>
      <c r="Z876" s="90"/>
    </row>
    <row r="877" spans="1:26" ht="15.75" customHeight="1">
      <c r="A877" s="90"/>
      <c r="B877" s="90"/>
      <c r="C877" s="90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  <c r="W877" s="90"/>
      <c r="X877" s="90"/>
      <c r="Y877" s="90"/>
      <c r="Z877" s="90"/>
    </row>
    <row r="878" spans="1:26" ht="15.75" customHeight="1">
      <c r="A878" s="90"/>
      <c r="B878" s="90"/>
      <c r="C878" s="90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  <c r="W878" s="90"/>
      <c r="X878" s="90"/>
      <c r="Y878" s="90"/>
      <c r="Z878" s="90"/>
    </row>
    <row r="879" spans="1:26" ht="15.75" customHeight="1">
      <c r="A879" s="90"/>
      <c r="B879" s="90"/>
      <c r="C879" s="90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  <c r="W879" s="90"/>
      <c r="X879" s="90"/>
      <c r="Y879" s="90"/>
      <c r="Z879" s="90"/>
    </row>
    <row r="880" spans="1:26" ht="15.75" customHeight="1">
      <c r="A880" s="90"/>
      <c r="B880" s="90"/>
      <c r="C880" s="90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  <c r="W880" s="90"/>
      <c r="X880" s="90"/>
      <c r="Y880" s="90"/>
      <c r="Z880" s="90"/>
    </row>
    <row r="881" spans="1:26" ht="15.75" customHeight="1">
      <c r="A881" s="90"/>
      <c r="B881" s="90"/>
      <c r="C881" s="90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  <c r="W881" s="90"/>
      <c r="X881" s="90"/>
      <c r="Y881" s="90"/>
      <c r="Z881" s="90"/>
    </row>
    <row r="882" spans="1:26" ht="15.75" customHeight="1">
      <c r="A882" s="90"/>
      <c r="B882" s="90"/>
      <c r="C882" s="90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  <c r="W882" s="90"/>
      <c r="X882" s="90"/>
      <c r="Y882" s="90"/>
      <c r="Z882" s="90"/>
    </row>
    <row r="883" spans="1:26" ht="15.75" customHeight="1">
      <c r="A883" s="90"/>
      <c r="B883" s="90"/>
      <c r="C883" s="90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  <c r="W883" s="90"/>
      <c r="X883" s="90"/>
      <c r="Y883" s="90"/>
      <c r="Z883" s="90"/>
    </row>
    <row r="884" spans="1:26" ht="15.75" customHeight="1">
      <c r="A884" s="90"/>
      <c r="B884" s="90"/>
      <c r="C884" s="90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  <c r="W884" s="90"/>
      <c r="X884" s="90"/>
      <c r="Y884" s="90"/>
      <c r="Z884" s="90"/>
    </row>
    <row r="885" spans="1:26" ht="15.75" customHeight="1">
      <c r="A885" s="90"/>
      <c r="B885" s="90"/>
      <c r="C885" s="90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  <c r="W885" s="90"/>
      <c r="X885" s="90"/>
      <c r="Y885" s="90"/>
      <c r="Z885" s="90"/>
    </row>
    <row r="886" spans="1:26" ht="15.75" customHeight="1">
      <c r="A886" s="90"/>
      <c r="B886" s="90"/>
      <c r="C886" s="90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  <c r="W886" s="90"/>
      <c r="X886" s="90"/>
      <c r="Y886" s="90"/>
      <c r="Z886" s="90"/>
    </row>
    <row r="887" spans="1:26" ht="15.75" customHeight="1">
      <c r="A887" s="90"/>
      <c r="B887" s="90"/>
      <c r="C887" s="90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  <c r="W887" s="90"/>
      <c r="X887" s="90"/>
      <c r="Y887" s="90"/>
      <c r="Z887" s="90"/>
    </row>
    <row r="888" spans="1:26" ht="15.75" customHeight="1">
      <c r="A888" s="90"/>
      <c r="B888" s="90"/>
      <c r="C888" s="90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  <c r="W888" s="90"/>
      <c r="X888" s="90"/>
      <c r="Y888" s="90"/>
      <c r="Z888" s="90"/>
    </row>
    <row r="889" spans="1:26" ht="15.75" customHeight="1">
      <c r="A889" s="90"/>
      <c r="B889" s="90"/>
      <c r="C889" s="90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  <c r="W889" s="90"/>
      <c r="X889" s="90"/>
      <c r="Y889" s="90"/>
      <c r="Z889" s="90"/>
    </row>
    <row r="890" spans="1:26" ht="15.75" customHeight="1">
      <c r="A890" s="90"/>
      <c r="B890" s="90"/>
      <c r="C890" s="90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  <c r="W890" s="90"/>
      <c r="X890" s="90"/>
      <c r="Y890" s="90"/>
      <c r="Z890" s="90"/>
    </row>
    <row r="891" spans="1:26" ht="15.75" customHeight="1">
      <c r="A891" s="90"/>
      <c r="B891" s="90"/>
      <c r="C891" s="90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  <c r="W891" s="90"/>
      <c r="X891" s="90"/>
      <c r="Y891" s="90"/>
      <c r="Z891" s="90"/>
    </row>
    <row r="892" spans="1:26" ht="15.75" customHeight="1">
      <c r="A892" s="90"/>
      <c r="B892" s="90"/>
      <c r="C892" s="90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  <c r="W892" s="90"/>
      <c r="X892" s="90"/>
      <c r="Y892" s="90"/>
      <c r="Z892" s="90"/>
    </row>
    <row r="893" spans="1:26" ht="15.75" customHeight="1">
      <c r="A893" s="90"/>
      <c r="B893" s="90"/>
      <c r="C893" s="90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  <c r="W893" s="90"/>
      <c r="X893" s="90"/>
      <c r="Y893" s="90"/>
      <c r="Z893" s="90"/>
    </row>
    <row r="894" spans="1:26" ht="15.75" customHeight="1">
      <c r="A894" s="90"/>
      <c r="B894" s="90"/>
      <c r="C894" s="90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  <c r="W894" s="90"/>
      <c r="X894" s="90"/>
      <c r="Y894" s="90"/>
      <c r="Z894" s="90"/>
    </row>
    <row r="895" spans="1:26" ht="15.75" customHeight="1">
      <c r="A895" s="90"/>
      <c r="B895" s="90"/>
      <c r="C895" s="90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  <c r="W895" s="90"/>
      <c r="X895" s="90"/>
      <c r="Y895" s="90"/>
      <c r="Z895" s="90"/>
    </row>
    <row r="896" spans="1:26" ht="15.75" customHeight="1">
      <c r="A896" s="90"/>
      <c r="B896" s="90"/>
      <c r="C896" s="90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  <c r="W896" s="90"/>
      <c r="X896" s="90"/>
      <c r="Y896" s="90"/>
      <c r="Z896" s="90"/>
    </row>
    <row r="897" spans="1:26" ht="15.75" customHeight="1">
      <c r="A897" s="90"/>
      <c r="B897" s="90"/>
      <c r="C897" s="90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  <c r="W897" s="90"/>
      <c r="X897" s="90"/>
      <c r="Y897" s="90"/>
      <c r="Z897" s="90"/>
    </row>
    <row r="898" spans="1:26" ht="15.75" customHeight="1">
      <c r="A898" s="90"/>
      <c r="B898" s="90"/>
      <c r="C898" s="90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  <c r="W898" s="90"/>
      <c r="X898" s="90"/>
      <c r="Y898" s="90"/>
      <c r="Z898" s="90"/>
    </row>
    <row r="899" spans="1:26" ht="15.75" customHeight="1">
      <c r="A899" s="90"/>
      <c r="B899" s="90"/>
      <c r="C899" s="90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  <c r="W899" s="90"/>
      <c r="X899" s="90"/>
      <c r="Y899" s="90"/>
      <c r="Z899" s="90"/>
    </row>
    <row r="900" spans="1:26" ht="15.75" customHeight="1">
      <c r="A900" s="90"/>
      <c r="B900" s="90"/>
      <c r="C900" s="90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  <c r="W900" s="90"/>
      <c r="X900" s="90"/>
      <c r="Y900" s="90"/>
      <c r="Z900" s="90"/>
    </row>
    <row r="901" spans="1:26" ht="15.75" customHeight="1">
      <c r="A901" s="90"/>
      <c r="B901" s="90"/>
      <c r="C901" s="90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  <c r="W901" s="90"/>
      <c r="X901" s="90"/>
      <c r="Y901" s="90"/>
      <c r="Z901" s="90"/>
    </row>
    <row r="902" spans="1:26" ht="15.75" customHeight="1">
      <c r="A902" s="90"/>
      <c r="B902" s="90"/>
      <c r="C902" s="90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  <c r="W902" s="90"/>
      <c r="X902" s="90"/>
      <c r="Y902" s="90"/>
      <c r="Z902" s="90"/>
    </row>
    <row r="903" spans="1:26" ht="15.75" customHeight="1">
      <c r="A903" s="90"/>
      <c r="B903" s="90"/>
      <c r="C903" s="90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  <c r="W903" s="90"/>
      <c r="X903" s="90"/>
      <c r="Y903" s="90"/>
      <c r="Z903" s="90"/>
    </row>
    <row r="904" spans="1:26" ht="15.75" customHeight="1">
      <c r="A904" s="90"/>
      <c r="B904" s="90"/>
      <c r="C904" s="90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  <c r="W904" s="90"/>
      <c r="X904" s="90"/>
      <c r="Y904" s="90"/>
      <c r="Z904" s="90"/>
    </row>
    <row r="905" spans="1:26" ht="15.75" customHeight="1">
      <c r="A905" s="90"/>
      <c r="B905" s="90"/>
      <c r="C905" s="90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  <c r="W905" s="90"/>
      <c r="X905" s="90"/>
      <c r="Y905" s="90"/>
      <c r="Z905" s="90"/>
    </row>
    <row r="906" spans="1:26" ht="15.75" customHeight="1">
      <c r="A906" s="90"/>
      <c r="B906" s="90"/>
      <c r="C906" s="90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  <c r="W906" s="90"/>
      <c r="X906" s="90"/>
      <c r="Y906" s="90"/>
      <c r="Z906" s="90"/>
    </row>
    <row r="907" spans="1:26" ht="15.75" customHeight="1">
      <c r="A907" s="90"/>
      <c r="B907" s="90"/>
      <c r="C907" s="90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  <c r="W907" s="90"/>
      <c r="X907" s="90"/>
      <c r="Y907" s="90"/>
      <c r="Z907" s="90"/>
    </row>
    <row r="908" spans="1:26" ht="15.75" customHeight="1">
      <c r="A908" s="90"/>
      <c r="B908" s="90"/>
      <c r="C908" s="90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  <c r="W908" s="90"/>
      <c r="X908" s="90"/>
      <c r="Y908" s="90"/>
      <c r="Z908" s="90"/>
    </row>
    <row r="909" spans="1:26" ht="15.75" customHeight="1">
      <c r="A909" s="90"/>
      <c r="B909" s="90"/>
      <c r="C909" s="90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  <c r="W909" s="90"/>
      <c r="X909" s="90"/>
      <c r="Y909" s="90"/>
      <c r="Z909" s="90"/>
    </row>
    <row r="910" spans="1:26" ht="15.75" customHeight="1">
      <c r="A910" s="90"/>
      <c r="B910" s="90"/>
      <c r="C910" s="90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  <c r="W910" s="90"/>
      <c r="X910" s="90"/>
      <c r="Y910" s="90"/>
      <c r="Z910" s="90"/>
    </row>
    <row r="911" spans="1:26" ht="15.75" customHeight="1">
      <c r="A911" s="90"/>
      <c r="B911" s="90"/>
      <c r="C911" s="90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  <c r="W911" s="90"/>
      <c r="X911" s="90"/>
      <c r="Y911" s="90"/>
      <c r="Z911" s="90"/>
    </row>
    <row r="912" spans="1:26" ht="15.75" customHeight="1">
      <c r="A912" s="90"/>
      <c r="B912" s="90"/>
      <c r="C912" s="90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  <c r="W912" s="90"/>
      <c r="X912" s="90"/>
      <c r="Y912" s="90"/>
      <c r="Z912" s="90"/>
    </row>
    <row r="913" spans="1:26" ht="15.75" customHeight="1">
      <c r="A913" s="90"/>
      <c r="B913" s="90"/>
      <c r="C913" s="90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  <c r="W913" s="90"/>
      <c r="X913" s="90"/>
      <c r="Y913" s="90"/>
      <c r="Z913" s="90"/>
    </row>
    <row r="914" spans="1:26" ht="15.75" customHeight="1">
      <c r="A914" s="90"/>
      <c r="B914" s="90"/>
      <c r="C914" s="90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  <c r="W914" s="90"/>
      <c r="X914" s="90"/>
      <c r="Y914" s="90"/>
      <c r="Z914" s="90"/>
    </row>
    <row r="915" spans="1:26" ht="15.75" customHeight="1">
      <c r="A915" s="90"/>
      <c r="B915" s="90"/>
      <c r="C915" s="90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  <c r="W915" s="90"/>
      <c r="X915" s="90"/>
      <c r="Y915" s="90"/>
      <c r="Z915" s="90"/>
    </row>
    <row r="916" spans="1:26" ht="15.75" customHeight="1">
      <c r="A916" s="90"/>
      <c r="B916" s="90"/>
      <c r="C916" s="90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  <c r="W916" s="90"/>
      <c r="X916" s="90"/>
      <c r="Y916" s="90"/>
      <c r="Z916" s="90"/>
    </row>
    <row r="917" spans="1:26" ht="15.75" customHeight="1">
      <c r="A917" s="90"/>
      <c r="B917" s="90"/>
      <c r="C917" s="90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  <c r="W917" s="90"/>
      <c r="X917" s="90"/>
      <c r="Y917" s="90"/>
      <c r="Z917" s="90"/>
    </row>
    <row r="918" spans="1:26" ht="15.75" customHeight="1">
      <c r="A918" s="90"/>
      <c r="B918" s="90"/>
      <c r="C918" s="90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  <c r="W918" s="90"/>
      <c r="X918" s="90"/>
      <c r="Y918" s="90"/>
      <c r="Z918" s="90"/>
    </row>
    <row r="919" spans="1:26" ht="15.75" customHeight="1">
      <c r="A919" s="90"/>
      <c r="B919" s="90"/>
      <c r="C919" s="90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  <c r="W919" s="90"/>
      <c r="X919" s="90"/>
      <c r="Y919" s="90"/>
      <c r="Z919" s="90"/>
    </row>
    <row r="920" spans="1:26" ht="15.75" customHeight="1">
      <c r="A920" s="90"/>
      <c r="B920" s="90"/>
      <c r="C920" s="90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  <c r="W920" s="90"/>
      <c r="X920" s="90"/>
      <c r="Y920" s="90"/>
      <c r="Z920" s="90"/>
    </row>
    <row r="921" spans="1:26" ht="15.75" customHeight="1">
      <c r="A921" s="90"/>
      <c r="B921" s="90"/>
      <c r="C921" s="90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  <c r="W921" s="90"/>
      <c r="X921" s="90"/>
      <c r="Y921" s="90"/>
      <c r="Z921" s="90"/>
    </row>
    <row r="922" spans="1:26" ht="15.75" customHeight="1">
      <c r="A922" s="90"/>
      <c r="B922" s="90"/>
      <c r="C922" s="90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  <c r="W922" s="90"/>
      <c r="X922" s="90"/>
      <c r="Y922" s="90"/>
      <c r="Z922" s="90"/>
    </row>
    <row r="923" spans="1:26" ht="15.75" customHeight="1">
      <c r="A923" s="90"/>
      <c r="B923" s="90"/>
      <c r="C923" s="90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  <c r="W923" s="90"/>
      <c r="X923" s="90"/>
      <c r="Y923" s="90"/>
      <c r="Z923" s="90"/>
    </row>
    <row r="924" spans="1:26" ht="15.75" customHeight="1">
      <c r="A924" s="90"/>
      <c r="B924" s="90"/>
      <c r="C924" s="90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  <c r="W924" s="90"/>
      <c r="X924" s="90"/>
      <c r="Y924" s="90"/>
      <c r="Z924" s="90"/>
    </row>
    <row r="925" spans="1:26" ht="15.75" customHeight="1">
      <c r="A925" s="90"/>
      <c r="B925" s="90"/>
      <c r="C925" s="90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  <c r="W925" s="90"/>
      <c r="X925" s="90"/>
      <c r="Y925" s="90"/>
      <c r="Z925" s="90"/>
    </row>
    <row r="926" spans="1:26" ht="15.75" customHeight="1">
      <c r="A926" s="90"/>
      <c r="B926" s="90"/>
      <c r="C926" s="90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  <c r="W926" s="90"/>
      <c r="X926" s="90"/>
      <c r="Y926" s="90"/>
      <c r="Z926" s="90"/>
    </row>
    <row r="927" spans="1:26" ht="15.75" customHeight="1">
      <c r="A927" s="90"/>
      <c r="B927" s="90"/>
      <c r="C927" s="90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  <c r="W927" s="90"/>
      <c r="X927" s="90"/>
      <c r="Y927" s="90"/>
      <c r="Z927" s="90"/>
    </row>
    <row r="928" spans="1:26" ht="15.75" customHeight="1">
      <c r="A928" s="90"/>
      <c r="B928" s="90"/>
      <c r="C928" s="90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  <c r="W928" s="90"/>
      <c r="X928" s="90"/>
      <c r="Y928" s="90"/>
      <c r="Z928" s="90"/>
    </row>
    <row r="929" spans="1:26" ht="15.75" customHeight="1">
      <c r="A929" s="90"/>
      <c r="B929" s="90"/>
      <c r="C929" s="90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  <c r="W929" s="90"/>
      <c r="X929" s="90"/>
      <c r="Y929" s="90"/>
      <c r="Z929" s="90"/>
    </row>
    <row r="930" spans="1:26" ht="15.75" customHeight="1">
      <c r="A930" s="90"/>
      <c r="B930" s="90"/>
      <c r="C930" s="90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  <c r="W930" s="90"/>
      <c r="X930" s="90"/>
      <c r="Y930" s="90"/>
      <c r="Z930" s="90"/>
    </row>
    <row r="931" spans="1:26" ht="15.75" customHeight="1">
      <c r="A931" s="90"/>
      <c r="B931" s="90"/>
      <c r="C931" s="90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  <c r="W931" s="90"/>
      <c r="X931" s="90"/>
      <c r="Y931" s="90"/>
      <c r="Z931" s="90"/>
    </row>
    <row r="932" spans="1:26" ht="15.75" customHeight="1">
      <c r="A932" s="90"/>
      <c r="B932" s="90"/>
      <c r="C932" s="90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  <c r="W932" s="90"/>
      <c r="X932" s="90"/>
      <c r="Y932" s="90"/>
      <c r="Z932" s="90"/>
    </row>
    <row r="933" spans="1:26" ht="15.75" customHeight="1">
      <c r="A933" s="90"/>
      <c r="B933" s="90"/>
      <c r="C933" s="90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  <c r="W933" s="90"/>
      <c r="X933" s="90"/>
      <c r="Y933" s="90"/>
      <c r="Z933" s="90"/>
    </row>
    <row r="934" spans="1:26" ht="15.75" customHeight="1">
      <c r="A934" s="90"/>
      <c r="B934" s="90"/>
      <c r="C934" s="90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  <c r="W934" s="90"/>
      <c r="X934" s="90"/>
      <c r="Y934" s="90"/>
      <c r="Z934" s="90"/>
    </row>
    <row r="935" spans="1:26" ht="15.75" customHeight="1">
      <c r="A935" s="90"/>
      <c r="B935" s="90"/>
      <c r="C935" s="90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  <c r="W935" s="90"/>
      <c r="X935" s="90"/>
      <c r="Y935" s="90"/>
      <c r="Z935" s="90"/>
    </row>
    <row r="936" spans="1:26" ht="15.75" customHeight="1">
      <c r="A936" s="90"/>
      <c r="B936" s="90"/>
      <c r="C936" s="90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  <c r="W936" s="90"/>
      <c r="X936" s="90"/>
      <c r="Y936" s="90"/>
      <c r="Z936" s="90"/>
    </row>
    <row r="937" spans="1:26" ht="15.75" customHeight="1">
      <c r="A937" s="90"/>
      <c r="B937" s="90"/>
      <c r="C937" s="90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  <c r="W937" s="90"/>
      <c r="X937" s="90"/>
      <c r="Y937" s="90"/>
      <c r="Z937" s="90"/>
    </row>
    <row r="938" spans="1:26" ht="15.75" customHeight="1">
      <c r="A938" s="90"/>
      <c r="B938" s="90"/>
      <c r="C938" s="90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  <c r="W938" s="90"/>
      <c r="X938" s="90"/>
      <c r="Y938" s="90"/>
      <c r="Z938" s="90"/>
    </row>
    <row r="939" spans="1:26" ht="15.75" customHeight="1">
      <c r="A939" s="90"/>
      <c r="B939" s="90"/>
      <c r="C939" s="90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  <c r="W939" s="90"/>
      <c r="X939" s="90"/>
      <c r="Y939" s="90"/>
      <c r="Z939" s="90"/>
    </row>
    <row r="940" spans="1:26" ht="15.75" customHeight="1">
      <c r="A940" s="90"/>
      <c r="B940" s="90"/>
      <c r="C940" s="90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  <c r="W940" s="90"/>
      <c r="X940" s="90"/>
      <c r="Y940" s="90"/>
      <c r="Z940" s="90"/>
    </row>
    <row r="941" spans="1:26" ht="15.75" customHeight="1">
      <c r="A941" s="90"/>
      <c r="B941" s="90"/>
      <c r="C941" s="90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  <c r="W941" s="90"/>
      <c r="X941" s="90"/>
      <c r="Y941" s="90"/>
      <c r="Z941" s="90"/>
    </row>
    <row r="942" spans="1:26" ht="15.75" customHeight="1">
      <c r="A942" s="90"/>
      <c r="B942" s="90"/>
      <c r="C942" s="90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  <c r="W942" s="90"/>
      <c r="X942" s="90"/>
      <c r="Y942" s="90"/>
      <c r="Z942" s="90"/>
    </row>
    <row r="943" spans="1:26" ht="15.75" customHeight="1">
      <c r="A943" s="90"/>
      <c r="B943" s="90"/>
      <c r="C943" s="90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  <c r="W943" s="90"/>
      <c r="X943" s="90"/>
      <c r="Y943" s="90"/>
      <c r="Z943" s="90"/>
    </row>
    <row r="944" spans="1:26" ht="15.75" customHeight="1">
      <c r="A944" s="90"/>
      <c r="B944" s="90"/>
      <c r="C944" s="90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  <c r="W944" s="90"/>
      <c r="X944" s="90"/>
      <c r="Y944" s="90"/>
      <c r="Z944" s="90"/>
    </row>
    <row r="945" spans="1:26" ht="15.75" customHeight="1">
      <c r="A945" s="90"/>
      <c r="B945" s="90"/>
      <c r="C945" s="90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  <c r="W945" s="90"/>
      <c r="X945" s="90"/>
      <c r="Y945" s="90"/>
      <c r="Z945" s="90"/>
    </row>
    <row r="946" spans="1:26" ht="15.75" customHeight="1">
      <c r="A946" s="90"/>
      <c r="B946" s="90"/>
      <c r="C946" s="90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  <c r="W946" s="90"/>
      <c r="X946" s="90"/>
      <c r="Y946" s="90"/>
      <c r="Z946" s="90"/>
    </row>
    <row r="947" spans="1:26" ht="15.75" customHeight="1">
      <c r="A947" s="90"/>
      <c r="B947" s="90"/>
      <c r="C947" s="90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  <c r="W947" s="90"/>
      <c r="X947" s="90"/>
      <c r="Y947" s="90"/>
      <c r="Z947" s="90"/>
    </row>
    <row r="948" spans="1:26" ht="15.75" customHeight="1">
      <c r="A948" s="90"/>
      <c r="B948" s="90"/>
      <c r="C948" s="90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  <c r="W948" s="90"/>
      <c r="X948" s="90"/>
      <c r="Y948" s="90"/>
      <c r="Z948" s="90"/>
    </row>
    <row r="949" spans="1:26" ht="15.75" customHeight="1">
      <c r="A949" s="90"/>
      <c r="B949" s="90"/>
      <c r="C949" s="90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  <c r="W949" s="90"/>
      <c r="X949" s="90"/>
      <c r="Y949" s="90"/>
      <c r="Z949" s="90"/>
    </row>
    <row r="950" spans="1:26" ht="15.75" customHeight="1">
      <c r="A950" s="90"/>
      <c r="B950" s="90"/>
      <c r="C950" s="90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  <c r="W950" s="90"/>
      <c r="X950" s="90"/>
      <c r="Y950" s="90"/>
      <c r="Z950" s="90"/>
    </row>
    <row r="951" spans="1:26" ht="15.75" customHeight="1">
      <c r="A951" s="90"/>
      <c r="B951" s="90"/>
      <c r="C951" s="90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  <c r="W951" s="90"/>
      <c r="X951" s="90"/>
      <c r="Y951" s="90"/>
      <c r="Z951" s="90"/>
    </row>
    <row r="952" spans="1:26" ht="15.75" customHeight="1">
      <c r="A952" s="90"/>
      <c r="B952" s="90"/>
      <c r="C952" s="90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  <c r="W952" s="90"/>
      <c r="X952" s="90"/>
      <c r="Y952" s="90"/>
      <c r="Z952" s="90"/>
    </row>
    <row r="953" spans="1:26" ht="15.75" customHeight="1">
      <c r="A953" s="90"/>
      <c r="B953" s="90"/>
      <c r="C953" s="90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  <c r="W953" s="90"/>
      <c r="X953" s="90"/>
      <c r="Y953" s="90"/>
      <c r="Z953" s="90"/>
    </row>
    <row r="954" spans="1:26" ht="15.75" customHeight="1">
      <c r="A954" s="90"/>
      <c r="B954" s="90"/>
      <c r="C954" s="90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  <c r="W954" s="90"/>
      <c r="X954" s="90"/>
      <c r="Y954" s="90"/>
      <c r="Z954" s="90"/>
    </row>
    <row r="955" spans="1:26" ht="15.75" customHeight="1">
      <c r="A955" s="90"/>
      <c r="B955" s="90"/>
      <c r="C955" s="90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  <c r="W955" s="90"/>
      <c r="X955" s="90"/>
      <c r="Y955" s="90"/>
      <c r="Z955" s="90"/>
    </row>
    <row r="956" spans="1:26" ht="15.75" customHeight="1">
      <c r="A956" s="90"/>
      <c r="B956" s="90"/>
      <c r="C956" s="90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  <c r="W956" s="90"/>
      <c r="X956" s="90"/>
      <c r="Y956" s="90"/>
      <c r="Z956" s="90"/>
    </row>
    <row r="957" spans="1:26" ht="15.75" customHeight="1">
      <c r="A957" s="90"/>
      <c r="B957" s="90"/>
      <c r="C957" s="90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  <c r="W957" s="90"/>
      <c r="X957" s="90"/>
      <c r="Y957" s="90"/>
      <c r="Z957" s="90"/>
    </row>
    <row r="958" spans="1:26" ht="15.75" customHeight="1">
      <c r="A958" s="90"/>
      <c r="B958" s="90"/>
      <c r="C958" s="90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  <c r="W958" s="90"/>
      <c r="X958" s="90"/>
      <c r="Y958" s="90"/>
      <c r="Z958" s="90"/>
    </row>
    <row r="959" spans="1:26" ht="15.75" customHeight="1">
      <c r="A959" s="90"/>
      <c r="B959" s="90"/>
      <c r="C959" s="90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  <c r="W959" s="90"/>
      <c r="X959" s="90"/>
      <c r="Y959" s="90"/>
      <c r="Z959" s="90"/>
    </row>
    <row r="960" spans="1:26" ht="15.75" customHeight="1">
      <c r="A960" s="90"/>
      <c r="B960" s="90"/>
      <c r="C960" s="90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  <c r="W960" s="90"/>
      <c r="X960" s="90"/>
      <c r="Y960" s="90"/>
      <c r="Z960" s="90"/>
    </row>
    <row r="961" spans="1:26" ht="15.75" customHeight="1">
      <c r="A961" s="90"/>
      <c r="B961" s="90"/>
      <c r="C961" s="90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  <c r="W961" s="90"/>
      <c r="X961" s="90"/>
      <c r="Y961" s="90"/>
      <c r="Z961" s="90"/>
    </row>
    <row r="962" spans="1:26" ht="15.75" customHeight="1">
      <c r="A962" s="90"/>
      <c r="B962" s="90"/>
      <c r="C962" s="90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  <c r="W962" s="90"/>
      <c r="X962" s="90"/>
      <c r="Y962" s="90"/>
      <c r="Z962" s="90"/>
    </row>
    <row r="963" spans="1:26" ht="15.75" customHeight="1">
      <c r="A963" s="90"/>
      <c r="B963" s="90"/>
      <c r="C963" s="90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  <c r="W963" s="90"/>
      <c r="X963" s="90"/>
      <c r="Y963" s="90"/>
      <c r="Z963" s="90"/>
    </row>
    <row r="964" spans="1:26" ht="15.75" customHeight="1">
      <c r="A964" s="90"/>
      <c r="B964" s="90"/>
      <c r="C964" s="90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  <c r="W964" s="90"/>
      <c r="X964" s="90"/>
      <c r="Y964" s="90"/>
      <c r="Z964" s="90"/>
    </row>
    <row r="965" spans="1:26" ht="15.75" customHeight="1">
      <c r="A965" s="90"/>
      <c r="B965" s="90"/>
      <c r="C965" s="90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  <c r="W965" s="90"/>
      <c r="X965" s="90"/>
      <c r="Y965" s="90"/>
      <c r="Z965" s="90"/>
    </row>
    <row r="966" spans="1:26" ht="15.75" customHeight="1">
      <c r="A966" s="90"/>
      <c r="B966" s="90"/>
      <c r="C966" s="90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  <c r="W966" s="90"/>
      <c r="X966" s="90"/>
      <c r="Y966" s="90"/>
      <c r="Z966" s="90"/>
    </row>
    <row r="967" spans="1:26" ht="15.75" customHeight="1">
      <c r="A967" s="90"/>
      <c r="B967" s="90"/>
      <c r="C967" s="90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  <c r="W967" s="90"/>
      <c r="X967" s="90"/>
      <c r="Y967" s="90"/>
      <c r="Z967" s="90"/>
    </row>
    <row r="968" spans="1:26" ht="15.75" customHeight="1">
      <c r="A968" s="90"/>
      <c r="B968" s="90"/>
      <c r="C968" s="90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  <c r="W968" s="90"/>
      <c r="X968" s="90"/>
      <c r="Y968" s="90"/>
      <c r="Z968" s="90"/>
    </row>
    <row r="969" spans="1:26" ht="15.75" customHeight="1">
      <c r="A969" s="90"/>
      <c r="B969" s="90"/>
      <c r="C969" s="90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  <c r="W969" s="90"/>
      <c r="X969" s="90"/>
      <c r="Y969" s="90"/>
      <c r="Z969" s="90"/>
    </row>
    <row r="970" spans="1:26" ht="15.75" customHeight="1">
      <c r="A970" s="90"/>
      <c r="B970" s="90"/>
      <c r="C970" s="90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  <c r="W970" s="90"/>
      <c r="X970" s="90"/>
      <c r="Y970" s="90"/>
      <c r="Z970" s="90"/>
    </row>
    <row r="971" spans="1:26" ht="15.75" customHeight="1">
      <c r="A971" s="90"/>
      <c r="B971" s="90"/>
      <c r="C971" s="90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  <c r="W971" s="90"/>
      <c r="X971" s="90"/>
      <c r="Y971" s="90"/>
      <c r="Z971" s="90"/>
    </row>
    <row r="972" spans="1:26" ht="15.75" customHeight="1">
      <c r="A972" s="90"/>
      <c r="B972" s="90"/>
      <c r="C972" s="90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  <c r="W972" s="90"/>
      <c r="X972" s="90"/>
      <c r="Y972" s="90"/>
      <c r="Z972" s="90"/>
    </row>
    <row r="973" spans="1:26" ht="15.75" customHeight="1">
      <c r="A973" s="90"/>
      <c r="B973" s="90"/>
      <c r="C973" s="90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  <c r="W973" s="90"/>
      <c r="X973" s="90"/>
      <c r="Y973" s="90"/>
      <c r="Z973" s="90"/>
    </row>
    <row r="974" spans="1:26" ht="15.75" customHeight="1">
      <c r="A974" s="90"/>
      <c r="B974" s="90"/>
      <c r="C974" s="90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  <c r="W974" s="90"/>
      <c r="X974" s="90"/>
      <c r="Y974" s="90"/>
      <c r="Z974" s="90"/>
    </row>
    <row r="975" spans="1:26" ht="15.75" customHeight="1">
      <c r="A975" s="90"/>
      <c r="B975" s="90"/>
      <c r="C975" s="90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  <c r="W975" s="90"/>
      <c r="X975" s="90"/>
      <c r="Y975" s="90"/>
      <c r="Z975" s="90"/>
    </row>
    <row r="976" spans="1:26" ht="15.75" customHeight="1">
      <c r="A976" s="90"/>
      <c r="B976" s="90"/>
      <c r="C976" s="90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  <c r="W976" s="90"/>
      <c r="X976" s="90"/>
      <c r="Y976" s="90"/>
      <c r="Z976" s="90"/>
    </row>
    <row r="977" spans="1:26" ht="15.75" customHeight="1">
      <c r="A977" s="90"/>
      <c r="B977" s="90"/>
      <c r="C977" s="90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  <c r="W977" s="90"/>
      <c r="X977" s="90"/>
      <c r="Y977" s="90"/>
      <c r="Z977" s="90"/>
    </row>
    <row r="978" spans="1:26" ht="15.75" customHeight="1">
      <c r="A978" s="90"/>
      <c r="B978" s="90"/>
      <c r="C978" s="90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  <c r="W978" s="90"/>
      <c r="X978" s="90"/>
      <c r="Y978" s="90"/>
      <c r="Z978" s="90"/>
    </row>
    <row r="979" spans="1:26" ht="15.75" customHeight="1">
      <c r="A979" s="90"/>
      <c r="B979" s="90"/>
      <c r="C979" s="90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  <c r="W979" s="90"/>
      <c r="X979" s="90"/>
      <c r="Y979" s="90"/>
      <c r="Z979" s="90"/>
    </row>
    <row r="980" spans="1:26" ht="15.75" customHeight="1">
      <c r="A980" s="90"/>
      <c r="B980" s="90"/>
      <c r="C980" s="90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  <c r="W980" s="90"/>
      <c r="X980" s="90"/>
      <c r="Y980" s="90"/>
      <c r="Z980" s="90"/>
    </row>
    <row r="981" spans="1:26" ht="15.75" customHeight="1">
      <c r="A981" s="90"/>
      <c r="B981" s="90"/>
      <c r="C981" s="90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  <c r="W981" s="90"/>
      <c r="X981" s="90"/>
      <c r="Y981" s="90"/>
      <c r="Z981" s="90"/>
    </row>
    <row r="982" spans="1:26" ht="15.75" customHeight="1">
      <c r="A982" s="90"/>
      <c r="B982" s="90"/>
      <c r="C982" s="90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  <c r="W982" s="90"/>
      <c r="X982" s="90"/>
      <c r="Y982" s="90"/>
      <c r="Z982" s="90"/>
    </row>
    <row r="983" spans="1:26" ht="15.75" customHeight="1">
      <c r="A983" s="90"/>
      <c r="B983" s="90"/>
      <c r="C983" s="90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  <c r="W983" s="90"/>
      <c r="X983" s="90"/>
      <c r="Y983" s="90"/>
      <c r="Z983" s="90"/>
    </row>
    <row r="984" spans="1:26" ht="15.75" customHeight="1">
      <c r="A984" s="90"/>
      <c r="B984" s="90"/>
      <c r="C984" s="90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  <c r="W984" s="90"/>
      <c r="X984" s="90"/>
      <c r="Y984" s="90"/>
      <c r="Z984" s="90"/>
    </row>
    <row r="985" spans="1:26" ht="15.75" customHeight="1">
      <c r="A985" s="90"/>
      <c r="B985" s="90"/>
      <c r="C985" s="90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  <c r="W985" s="90"/>
      <c r="X985" s="90"/>
      <c r="Y985" s="90"/>
      <c r="Z985" s="90"/>
    </row>
    <row r="986" spans="1:26" ht="15.75" customHeight="1">
      <c r="A986" s="90"/>
      <c r="B986" s="90"/>
      <c r="C986" s="90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  <c r="W986" s="90"/>
      <c r="X986" s="90"/>
      <c r="Y986" s="90"/>
      <c r="Z986" s="90"/>
    </row>
    <row r="987" spans="1:26" ht="15.75" customHeight="1">
      <c r="A987" s="90"/>
      <c r="B987" s="90"/>
      <c r="C987" s="90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  <c r="W987" s="90"/>
      <c r="X987" s="90"/>
      <c r="Y987" s="90"/>
      <c r="Z987" s="90"/>
    </row>
    <row r="988" spans="1:26" ht="15.75" customHeight="1">
      <c r="A988" s="90"/>
      <c r="B988" s="90"/>
      <c r="C988" s="90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  <c r="W988" s="90"/>
      <c r="X988" s="90"/>
      <c r="Y988" s="90"/>
      <c r="Z988" s="90"/>
    </row>
  </sheetData>
  <mergeCells count="88">
    <mergeCell ref="A1:B2"/>
    <mergeCell ref="C1:G2"/>
    <mergeCell ref="I1:J1"/>
    <mergeCell ref="I2:J2"/>
    <mergeCell ref="A3:D3"/>
    <mergeCell ref="E3:G3"/>
    <mergeCell ref="H3:J3"/>
    <mergeCell ref="B4:C4"/>
    <mergeCell ref="F4:G4"/>
    <mergeCell ref="A5:B5"/>
    <mergeCell ref="C5:E5"/>
    <mergeCell ref="F5:G6"/>
    <mergeCell ref="I5:I6"/>
    <mergeCell ref="J5:J6"/>
    <mergeCell ref="A7:B7"/>
    <mergeCell ref="C7:E7"/>
    <mergeCell ref="F7:H7"/>
    <mergeCell ref="I7:J7"/>
    <mergeCell ref="H5:H6"/>
    <mergeCell ref="J8:J9"/>
    <mergeCell ref="A10:A12"/>
    <mergeCell ref="B10:B12"/>
    <mergeCell ref="C10:C12"/>
    <mergeCell ref="D10:D12"/>
    <mergeCell ref="E10:E12"/>
    <mergeCell ref="H10:H12"/>
    <mergeCell ref="I10:I12"/>
    <mergeCell ref="J10:J12"/>
    <mergeCell ref="F11:G11"/>
    <mergeCell ref="A8:A9"/>
    <mergeCell ref="B8:B9"/>
    <mergeCell ref="C8:E8"/>
    <mergeCell ref="F8:G9"/>
    <mergeCell ref="H8:H9"/>
    <mergeCell ref="I8:I9"/>
    <mergeCell ref="I13:I15"/>
    <mergeCell ref="J13:J15"/>
    <mergeCell ref="F14:G14"/>
    <mergeCell ref="A16:A21"/>
    <mergeCell ref="B16:B18"/>
    <mergeCell ref="C16:C18"/>
    <mergeCell ref="D16:D18"/>
    <mergeCell ref="E16:E18"/>
    <mergeCell ref="H16:H18"/>
    <mergeCell ref="I16:I18"/>
    <mergeCell ref="A13:A15"/>
    <mergeCell ref="B13:B15"/>
    <mergeCell ref="C13:C15"/>
    <mergeCell ref="D13:D15"/>
    <mergeCell ref="E13:E15"/>
    <mergeCell ref="H13:H15"/>
    <mergeCell ref="J16:J18"/>
    <mergeCell ref="F17:G17"/>
    <mergeCell ref="B19:B21"/>
    <mergeCell ref="C19:C21"/>
    <mergeCell ref="D19:D21"/>
    <mergeCell ref="E19:E21"/>
    <mergeCell ref="H19:H21"/>
    <mergeCell ref="I19:I21"/>
    <mergeCell ref="J19:J21"/>
    <mergeCell ref="F20:G20"/>
    <mergeCell ref="A22:A33"/>
    <mergeCell ref="B22:B27"/>
    <mergeCell ref="C22:C24"/>
    <mergeCell ref="D22:D27"/>
    <mergeCell ref="E22:E27"/>
    <mergeCell ref="B28:B33"/>
    <mergeCell ref="C28:C30"/>
    <mergeCell ref="D28:D33"/>
    <mergeCell ref="E28:E33"/>
    <mergeCell ref="I22:I24"/>
    <mergeCell ref="J22:J24"/>
    <mergeCell ref="F23:G23"/>
    <mergeCell ref="C25:C27"/>
    <mergeCell ref="H25:H27"/>
    <mergeCell ref="I25:I27"/>
    <mergeCell ref="J25:J27"/>
    <mergeCell ref="F26:G26"/>
    <mergeCell ref="H22:H24"/>
    <mergeCell ref="H28:H30"/>
    <mergeCell ref="I28:I30"/>
    <mergeCell ref="J28:J30"/>
    <mergeCell ref="F29:G29"/>
    <mergeCell ref="C31:C33"/>
    <mergeCell ref="H31:H33"/>
    <mergeCell ref="I31:I33"/>
    <mergeCell ref="J31:J33"/>
    <mergeCell ref="F32:G32"/>
  </mergeCells>
  <conditionalFormatting sqref="F12">
    <cfRule type="cellIs" dxfId="61" priority="1" operator="greaterThan">
      <formula>$F$10</formula>
    </cfRule>
    <cfRule type="cellIs" dxfId="60" priority="2" operator="lessThan">
      <formula>$F$10</formula>
    </cfRule>
  </conditionalFormatting>
  <conditionalFormatting sqref="F15">
    <cfRule type="cellIs" dxfId="59" priority="3" operator="lessThan">
      <formula>$F$16</formula>
    </cfRule>
    <cfRule type="cellIs" dxfId="58" priority="4" operator="greaterThanOrEqual">
      <formula>$F$16</formula>
    </cfRule>
  </conditionalFormatting>
  <conditionalFormatting sqref="F18">
    <cfRule type="cellIs" dxfId="57" priority="5" operator="lessThan">
      <formula>$F$16</formula>
    </cfRule>
    <cfRule type="cellIs" dxfId="56" priority="6" operator="greaterThanOrEqual">
      <formula>$F$16</formula>
    </cfRule>
  </conditionalFormatting>
  <conditionalFormatting sqref="F21">
    <cfRule type="cellIs" dxfId="55" priority="7" operator="lessThan">
      <formula>$F$16</formula>
    </cfRule>
    <cfRule type="cellIs" dxfId="54" priority="8" operator="greaterThanOrEqual">
      <formula>$F$16</formula>
    </cfRule>
  </conditionalFormatting>
  <conditionalFormatting sqref="F24">
    <cfRule type="cellIs" dxfId="53" priority="9" operator="lessThan">
      <formula>$F$16</formula>
    </cfRule>
    <cfRule type="cellIs" dxfId="52" priority="10" operator="greaterThanOrEqual">
      <formula>$F$16</formula>
    </cfRule>
  </conditionalFormatting>
  <conditionalFormatting sqref="F27">
    <cfRule type="cellIs" dxfId="51" priority="11" operator="lessThan">
      <formula>$F$16</formula>
    </cfRule>
    <cfRule type="cellIs" dxfId="50" priority="12" operator="greaterThanOrEqual">
      <formula>$F$16</formula>
    </cfRule>
  </conditionalFormatting>
  <conditionalFormatting sqref="F30">
    <cfRule type="cellIs" dxfId="49" priority="13" operator="lessThan">
      <formula>$F$16</formula>
    </cfRule>
    <cfRule type="cellIs" dxfId="48" priority="14" operator="greaterThanOrEqual">
      <formula>$F$16</formula>
    </cfRule>
  </conditionalFormatting>
  <conditionalFormatting sqref="F33">
    <cfRule type="cellIs" dxfId="47" priority="15" operator="lessThan">
      <formula>$F$16</formula>
    </cfRule>
    <cfRule type="cellIs" dxfId="46" priority="16" operator="greaterThanOrEqual">
      <formula>$F$16</formula>
    </cfRule>
  </conditionalFormatting>
  <conditionalFormatting sqref="J4">
    <cfRule type="cellIs" dxfId="45" priority="17" operator="lessThan">
      <formula>$H$4</formula>
    </cfRule>
    <cfRule type="cellIs" dxfId="44" priority="18" operator="greaterThan">
      <formula>$H$4</formula>
    </cfRule>
  </conditionalFormatting>
  <pageMargins left="0.7" right="0.7" top="0.75" bottom="0.75" header="0" footer="0"/>
  <pageSetup scale="26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3"/>
  <dimension ref="A1:A1000"/>
  <sheetViews>
    <sheetView workbookViewId="0"/>
  </sheetViews>
  <sheetFormatPr baseColWidth="10" defaultColWidth="11.1640625" defaultRowHeight="15" customHeight="1"/>
  <cols>
    <col min="1" max="26" width="10.5" customWidth="1"/>
  </cols>
  <sheetData>
    <row r="1" spans="1:1" ht="15.75" customHeight="1">
      <c r="A1" s="5" t="s">
        <v>686</v>
      </c>
    </row>
    <row r="2" spans="1:1" ht="15.75" customHeight="1">
      <c r="A2" s="5" t="s">
        <v>687</v>
      </c>
    </row>
    <row r="3" spans="1:1" ht="15.75" customHeight="1"/>
    <row r="4" spans="1:1" ht="15.75" customHeight="1"/>
    <row r="5" spans="1:1" ht="15.75" customHeight="1"/>
    <row r="6" spans="1:1" ht="15.75" customHeight="1"/>
    <row r="7" spans="1:1" ht="15.75" customHeight="1"/>
    <row r="8" spans="1:1" ht="15.75" customHeight="1"/>
    <row r="9" spans="1:1" ht="15.75" customHeight="1"/>
    <row r="10" spans="1:1" ht="15.75" customHeight="1"/>
    <row r="11" spans="1:1" ht="15.75" customHeight="1"/>
    <row r="12" spans="1:1" ht="15.75" customHeight="1"/>
    <row r="13" spans="1:1" ht="15.75" customHeight="1"/>
    <row r="14" spans="1:1" ht="15.75" customHeight="1"/>
    <row r="15" spans="1:1" ht="15.75" customHeight="1"/>
    <row r="16" spans="1:1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4"/>
  <dimension ref="A1:Z1000"/>
  <sheetViews>
    <sheetView workbookViewId="0"/>
  </sheetViews>
  <sheetFormatPr baseColWidth="10" defaultColWidth="11.1640625" defaultRowHeight="15" customHeight="1"/>
  <cols>
    <col min="1" max="1" width="17.83203125" customWidth="1"/>
    <col min="2" max="2" width="27.33203125" customWidth="1"/>
    <col min="3" max="14" width="22.83203125" customWidth="1"/>
    <col min="15" max="15" width="10.83203125" customWidth="1"/>
    <col min="16" max="16" width="35.83203125" customWidth="1"/>
    <col min="17" max="17" width="27.1640625" customWidth="1"/>
    <col min="18" max="26" width="10.5" customWidth="1"/>
  </cols>
  <sheetData>
    <row r="1" spans="1:26" ht="67.5" customHeight="1">
      <c r="A1" s="329"/>
      <c r="B1" s="278"/>
      <c r="C1" s="329" t="s">
        <v>688</v>
      </c>
      <c r="D1" s="281"/>
      <c r="E1" s="281"/>
      <c r="F1" s="281"/>
      <c r="G1" s="281"/>
      <c r="H1" s="281"/>
      <c r="I1" s="281"/>
      <c r="J1" s="281"/>
      <c r="K1" s="281"/>
      <c r="L1" s="281"/>
      <c r="M1" s="281"/>
      <c r="N1" s="282"/>
      <c r="O1" s="23" t="s">
        <v>166</v>
      </c>
      <c r="P1" s="330" t="s">
        <v>167</v>
      </c>
      <c r="Q1" s="286"/>
      <c r="R1" s="24"/>
      <c r="S1" s="24"/>
      <c r="T1" s="24"/>
      <c r="U1" s="24"/>
      <c r="V1" s="24"/>
      <c r="W1" s="24"/>
      <c r="X1" s="24"/>
      <c r="Y1" s="24"/>
      <c r="Z1" s="24"/>
    </row>
    <row r="2" spans="1:26" ht="63" customHeight="1">
      <c r="A2" s="279"/>
      <c r="B2" s="280"/>
      <c r="C2" s="279"/>
      <c r="D2" s="283"/>
      <c r="E2" s="283"/>
      <c r="F2" s="283"/>
      <c r="G2" s="283"/>
      <c r="H2" s="283"/>
      <c r="I2" s="283"/>
      <c r="J2" s="283"/>
      <c r="K2" s="283"/>
      <c r="L2" s="283"/>
      <c r="M2" s="283"/>
      <c r="N2" s="284"/>
      <c r="O2" s="23" t="s">
        <v>168</v>
      </c>
      <c r="P2" s="331">
        <v>43691</v>
      </c>
      <c r="Q2" s="286"/>
      <c r="R2" s="24"/>
      <c r="S2" s="24"/>
      <c r="T2" s="24"/>
      <c r="U2" s="24"/>
      <c r="V2" s="24"/>
      <c r="W2" s="24"/>
      <c r="X2" s="24"/>
      <c r="Y2" s="24"/>
      <c r="Z2" s="24"/>
    </row>
    <row r="3" spans="1:26" ht="15.75" customHeight="1">
      <c r="A3" s="34" t="s">
        <v>5</v>
      </c>
      <c r="B3" s="35" t="s">
        <v>7</v>
      </c>
      <c r="C3" s="508" t="s">
        <v>689</v>
      </c>
      <c r="D3" s="508" t="s">
        <v>690</v>
      </c>
      <c r="E3" s="508" t="s">
        <v>691</v>
      </c>
      <c r="F3" s="508" t="s">
        <v>692</v>
      </c>
      <c r="G3" s="508" t="s">
        <v>693</v>
      </c>
      <c r="H3" s="508" t="s">
        <v>694</v>
      </c>
      <c r="I3" s="508" t="s">
        <v>695</v>
      </c>
      <c r="J3" s="508" t="s">
        <v>696</v>
      </c>
      <c r="K3" s="508" t="s">
        <v>697</v>
      </c>
      <c r="L3" s="508" t="s">
        <v>698</v>
      </c>
      <c r="M3" s="508" t="s">
        <v>699</v>
      </c>
      <c r="N3" s="510" t="s">
        <v>700</v>
      </c>
      <c r="O3" s="36" t="s">
        <v>5</v>
      </c>
      <c r="P3" s="37" t="s">
        <v>7</v>
      </c>
      <c r="Q3" s="38">
        <f>$C$15</f>
        <v>0</v>
      </c>
      <c r="R3" s="24"/>
      <c r="S3" s="24"/>
      <c r="T3" s="24"/>
      <c r="U3" s="24"/>
      <c r="V3" s="24"/>
      <c r="W3" s="24"/>
      <c r="X3" s="24"/>
      <c r="Y3" s="24"/>
      <c r="Z3" s="24"/>
    </row>
    <row r="4" spans="1:26" ht="15.75" customHeight="1">
      <c r="A4" s="39" t="s">
        <v>701</v>
      </c>
      <c r="B4" s="40" t="s">
        <v>702</v>
      </c>
      <c r="C4" s="307"/>
      <c r="D4" s="307"/>
      <c r="E4" s="307"/>
      <c r="F4" s="307"/>
      <c r="G4" s="307"/>
      <c r="H4" s="307"/>
      <c r="I4" s="307"/>
      <c r="J4" s="307"/>
      <c r="K4" s="307"/>
      <c r="L4" s="307"/>
      <c r="M4" s="307"/>
      <c r="N4" s="321"/>
      <c r="O4" s="41" t="s">
        <v>703</v>
      </c>
      <c r="P4" s="42" t="s">
        <v>136</v>
      </c>
      <c r="Q4" s="43">
        <f>$C$32</f>
        <v>0</v>
      </c>
      <c r="R4" s="24"/>
      <c r="S4" s="24"/>
      <c r="T4" s="24"/>
      <c r="U4" s="24"/>
      <c r="V4" s="24"/>
      <c r="W4" s="24"/>
      <c r="X4" s="24"/>
      <c r="Y4" s="24"/>
      <c r="Z4" s="24"/>
    </row>
    <row r="5" spans="1:26" ht="15.75" customHeight="1">
      <c r="A5" s="44">
        <v>101</v>
      </c>
      <c r="B5" s="45" t="s">
        <v>704</v>
      </c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7"/>
      <c r="O5" s="41" t="s">
        <v>705</v>
      </c>
      <c r="P5" s="42" t="s">
        <v>220</v>
      </c>
      <c r="Q5" s="43">
        <f>$C$44</f>
        <v>0</v>
      </c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>
      <c r="A6" s="44">
        <v>102</v>
      </c>
      <c r="B6" s="45" t="s">
        <v>706</v>
      </c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9"/>
      <c r="O6" s="41" t="s">
        <v>707</v>
      </c>
      <c r="P6" s="42" t="s">
        <v>708</v>
      </c>
      <c r="Q6" s="43">
        <f>$C$57</f>
        <v>0</v>
      </c>
      <c r="R6" s="24"/>
      <c r="S6" s="24"/>
      <c r="T6" s="24"/>
      <c r="U6" s="24"/>
      <c r="V6" s="24"/>
      <c r="W6" s="24"/>
      <c r="X6" s="24"/>
      <c r="Y6" s="24"/>
      <c r="Z6" s="24"/>
    </row>
    <row r="7" spans="1:26" ht="15.75" customHeight="1">
      <c r="A7" s="44">
        <v>103</v>
      </c>
      <c r="B7" s="45" t="s">
        <v>709</v>
      </c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9"/>
      <c r="O7" s="41" t="s">
        <v>710</v>
      </c>
      <c r="P7" s="42" t="s">
        <v>711</v>
      </c>
      <c r="Q7" s="43">
        <f>$C$74</f>
        <v>0</v>
      </c>
      <c r="R7" s="24"/>
      <c r="S7" s="24"/>
      <c r="T7" s="24"/>
      <c r="U7" s="24"/>
      <c r="V7" s="24"/>
      <c r="W7" s="24"/>
      <c r="X7" s="24"/>
      <c r="Y7" s="24"/>
      <c r="Z7" s="24"/>
    </row>
    <row r="8" spans="1:26" ht="15.75" customHeight="1">
      <c r="A8" s="44">
        <v>104</v>
      </c>
      <c r="B8" s="45" t="s">
        <v>712</v>
      </c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9"/>
      <c r="O8" s="41" t="s">
        <v>713</v>
      </c>
      <c r="P8" s="42" t="s">
        <v>714</v>
      </c>
      <c r="Q8" s="43">
        <f>$C$87</f>
        <v>0</v>
      </c>
      <c r="R8" s="24"/>
      <c r="S8" s="24"/>
      <c r="T8" s="24"/>
      <c r="U8" s="24"/>
      <c r="V8" s="24"/>
      <c r="W8" s="24"/>
      <c r="X8" s="24"/>
      <c r="Y8" s="24"/>
      <c r="Z8" s="24"/>
    </row>
    <row r="9" spans="1:26" ht="15.75" customHeight="1">
      <c r="A9" s="44">
        <v>105</v>
      </c>
      <c r="B9" s="45" t="s">
        <v>715</v>
      </c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9"/>
      <c r="O9" s="41" t="s">
        <v>716</v>
      </c>
      <c r="P9" s="42" t="s">
        <v>400</v>
      </c>
      <c r="Q9" s="43">
        <f>$C$102</f>
        <v>0</v>
      </c>
      <c r="R9" s="24"/>
      <c r="S9" s="24"/>
      <c r="T9" s="24"/>
      <c r="U9" s="24"/>
      <c r="V9" s="24"/>
      <c r="W9" s="24"/>
      <c r="X9" s="24"/>
      <c r="Y9" s="24"/>
      <c r="Z9" s="24"/>
    </row>
    <row r="10" spans="1:26" ht="15.75" customHeight="1">
      <c r="A10" s="44">
        <v>904</v>
      </c>
      <c r="B10" s="45" t="s">
        <v>717</v>
      </c>
      <c r="C10" s="48"/>
      <c r="D10" s="48"/>
      <c r="E10" s="48"/>
      <c r="F10" s="48"/>
      <c r="G10" s="48"/>
      <c r="H10" s="48"/>
      <c r="I10" s="48"/>
      <c r="J10" s="48"/>
      <c r="K10" s="48"/>
      <c r="L10" s="48"/>
      <c r="M10" s="48"/>
      <c r="N10" s="49"/>
      <c r="O10" s="41" t="s">
        <v>718</v>
      </c>
      <c r="P10" s="42" t="s">
        <v>107</v>
      </c>
      <c r="Q10" s="43">
        <f>$C$115</f>
        <v>0</v>
      </c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15.75" customHeight="1">
      <c r="A11" s="44"/>
      <c r="B11" s="45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9"/>
      <c r="O11" s="41" t="s">
        <v>719</v>
      </c>
      <c r="P11" s="42" t="s">
        <v>652</v>
      </c>
      <c r="Q11" s="43">
        <f>$C$128</f>
        <v>0</v>
      </c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5.75" customHeight="1">
      <c r="A12" s="50"/>
      <c r="B12" s="51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3"/>
      <c r="O12" s="41" t="s">
        <v>720</v>
      </c>
      <c r="P12" s="42" t="s">
        <v>531</v>
      </c>
      <c r="Q12" s="43">
        <f>$C$141</f>
        <v>0</v>
      </c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5.75" customHeight="1">
      <c r="A13" s="511" t="s">
        <v>721</v>
      </c>
      <c r="B13" s="286"/>
      <c r="C13" s="54">
        <f t="shared" ref="C13:N13" si="0">SUM(C5:C12)</f>
        <v>0</v>
      </c>
      <c r="D13" s="55">
        <f t="shared" si="0"/>
        <v>0</v>
      </c>
      <c r="E13" s="55">
        <f t="shared" si="0"/>
        <v>0</v>
      </c>
      <c r="F13" s="55">
        <f t="shared" si="0"/>
        <v>0</v>
      </c>
      <c r="G13" s="55">
        <f t="shared" si="0"/>
        <v>0</v>
      </c>
      <c r="H13" s="55">
        <f t="shared" si="0"/>
        <v>0</v>
      </c>
      <c r="I13" s="55">
        <f t="shared" si="0"/>
        <v>0</v>
      </c>
      <c r="J13" s="55">
        <f t="shared" si="0"/>
        <v>0</v>
      </c>
      <c r="K13" s="55">
        <f t="shared" si="0"/>
        <v>0</v>
      </c>
      <c r="L13" s="55">
        <f t="shared" si="0"/>
        <v>0</v>
      </c>
      <c r="M13" s="55">
        <f t="shared" si="0"/>
        <v>0</v>
      </c>
      <c r="N13" s="56">
        <f t="shared" si="0"/>
        <v>0</v>
      </c>
      <c r="O13" s="41" t="s">
        <v>722</v>
      </c>
      <c r="P13" s="42" t="s">
        <v>723</v>
      </c>
      <c r="Q13" s="43">
        <f>$C$154</f>
        <v>0</v>
      </c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15.75" customHeight="1">
      <c r="A14" s="512" t="s">
        <v>724</v>
      </c>
      <c r="B14" s="286"/>
      <c r="C14" s="57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58" t="s">
        <v>725</v>
      </c>
      <c r="P14" s="59" t="s">
        <v>726</v>
      </c>
      <c r="Q14" s="60">
        <f>$C$167</f>
        <v>0</v>
      </c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15.75" customHeight="1">
      <c r="A15" s="515" t="s">
        <v>172</v>
      </c>
      <c r="B15" s="286"/>
      <c r="C15" s="61">
        <f>SUM(C13:N13)</f>
        <v>0</v>
      </c>
      <c r="D15" s="24"/>
      <c r="E15" s="24"/>
      <c r="F15" s="24"/>
      <c r="G15" s="24"/>
      <c r="H15" s="24"/>
      <c r="I15" s="24"/>
      <c r="J15" s="24"/>
      <c r="K15" s="24"/>
      <c r="L15" s="24"/>
      <c r="M15" s="24"/>
      <c r="N15" s="24"/>
      <c r="O15" s="509" t="s">
        <v>727</v>
      </c>
      <c r="P15" s="286"/>
      <c r="Q15" s="62">
        <f>SUM(Q3:Q14)</f>
        <v>0</v>
      </c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6.5" customHeight="1">
      <c r="A16" s="34" t="s">
        <v>703</v>
      </c>
      <c r="B16" s="35" t="s">
        <v>136</v>
      </c>
      <c r="C16" s="508" t="s">
        <v>689</v>
      </c>
      <c r="D16" s="508" t="s">
        <v>690</v>
      </c>
      <c r="E16" s="508" t="s">
        <v>691</v>
      </c>
      <c r="F16" s="508" t="s">
        <v>692</v>
      </c>
      <c r="G16" s="508" t="s">
        <v>693</v>
      </c>
      <c r="H16" s="508" t="s">
        <v>694</v>
      </c>
      <c r="I16" s="508" t="s">
        <v>695</v>
      </c>
      <c r="J16" s="508" t="s">
        <v>696</v>
      </c>
      <c r="K16" s="508" t="s">
        <v>697</v>
      </c>
      <c r="L16" s="508" t="s">
        <v>698</v>
      </c>
      <c r="M16" s="508" t="s">
        <v>699</v>
      </c>
      <c r="N16" s="508" t="s">
        <v>700</v>
      </c>
      <c r="O16" s="513" t="s">
        <v>728</v>
      </c>
      <c r="P16" s="286"/>
      <c r="Q16" s="63">
        <f>$Q$31</f>
        <v>0</v>
      </c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6.5" customHeight="1">
      <c r="A17" s="39" t="s">
        <v>701</v>
      </c>
      <c r="B17" s="40" t="s">
        <v>702</v>
      </c>
      <c r="C17" s="307"/>
      <c r="D17" s="307"/>
      <c r="E17" s="307"/>
      <c r="F17" s="307"/>
      <c r="G17" s="307"/>
      <c r="H17" s="307"/>
      <c r="I17" s="307"/>
      <c r="J17" s="307"/>
      <c r="K17" s="307"/>
      <c r="L17" s="307"/>
      <c r="M17" s="307"/>
      <c r="N17" s="307"/>
      <c r="O17" s="514" t="s">
        <v>729</v>
      </c>
      <c r="P17" s="286"/>
      <c r="Q17" s="6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15.75" customHeight="1">
      <c r="A18" s="44">
        <v>201</v>
      </c>
      <c r="B18" s="45" t="s">
        <v>136</v>
      </c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512" t="s">
        <v>730</v>
      </c>
      <c r="P18" s="286"/>
      <c r="Q18" s="57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5.75" customHeight="1">
      <c r="A19" s="44">
        <v>203</v>
      </c>
      <c r="B19" s="45" t="s">
        <v>731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36">
        <f>$A$170</f>
        <v>0</v>
      </c>
      <c r="P19" s="37">
        <f>$B$170</f>
        <v>0</v>
      </c>
      <c r="Q19" s="38">
        <f>$C$182</f>
        <v>0</v>
      </c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5.75" customHeight="1">
      <c r="A20" s="44">
        <v>206</v>
      </c>
      <c r="B20" s="45" t="s">
        <v>732</v>
      </c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1">
        <f>$A$183</f>
        <v>0</v>
      </c>
      <c r="P20" s="42">
        <f>$B$183</f>
        <v>0</v>
      </c>
      <c r="Q20" s="43">
        <f>$C$195</f>
        <v>0</v>
      </c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44">
        <v>207</v>
      </c>
      <c r="B21" s="45" t="s">
        <v>733</v>
      </c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1">
        <f>A209</f>
        <v>0</v>
      </c>
      <c r="P21" s="65">
        <f>B209</f>
        <v>0</v>
      </c>
      <c r="Q21" s="43">
        <f>$C$221</f>
        <v>0</v>
      </c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5.75" customHeight="1">
      <c r="A22" s="44">
        <v>208</v>
      </c>
      <c r="B22" s="45" t="s">
        <v>734</v>
      </c>
      <c r="C22" s="48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  <c r="O22" s="41">
        <f>A222</f>
        <v>0</v>
      </c>
      <c r="P22" s="65">
        <f>B222</f>
        <v>0</v>
      </c>
      <c r="Q22" s="43">
        <f>$C$234</f>
        <v>0</v>
      </c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5.75" customHeight="1">
      <c r="A23" s="44">
        <v>209</v>
      </c>
      <c r="B23" s="45" t="s">
        <v>735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1">
        <f>A235</f>
        <v>0</v>
      </c>
      <c r="P23" s="65">
        <f>B235</f>
        <v>0</v>
      </c>
      <c r="Q23" s="43">
        <f>$C$247</f>
        <v>0</v>
      </c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5.75" customHeight="1">
      <c r="A24" s="44">
        <v>210</v>
      </c>
      <c r="B24" s="45" t="s">
        <v>736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1">
        <f>A248</f>
        <v>0</v>
      </c>
      <c r="P24" s="65">
        <f>B248</f>
        <v>0</v>
      </c>
      <c r="Q24" s="43">
        <f>$C$260</f>
        <v>0</v>
      </c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5.75" customHeight="1">
      <c r="A25" s="44">
        <v>211</v>
      </c>
      <c r="B25" s="45" t="s">
        <v>737</v>
      </c>
      <c r="C25" s="48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  <c r="O25" s="41">
        <f>A261</f>
        <v>0</v>
      </c>
      <c r="P25" s="65">
        <f>B261</f>
        <v>0</v>
      </c>
      <c r="Q25" s="43">
        <f>$C$273</f>
        <v>0</v>
      </c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5.75" customHeight="1">
      <c r="A26" s="44">
        <v>212</v>
      </c>
      <c r="B26" s="45" t="s">
        <v>738</v>
      </c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1">
        <f>A274</f>
        <v>0</v>
      </c>
      <c r="P26" s="65">
        <f>B274</f>
        <v>0</v>
      </c>
      <c r="Q26" s="43">
        <f>$C$286</f>
        <v>0</v>
      </c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50">
        <v>603</v>
      </c>
      <c r="B27" s="51" t="s">
        <v>739</v>
      </c>
      <c r="C27" s="66"/>
      <c r="D27" s="66"/>
      <c r="E27" s="66"/>
      <c r="F27" s="66"/>
      <c r="G27" s="66"/>
      <c r="H27" s="66"/>
      <c r="I27" s="66"/>
      <c r="J27" s="66"/>
      <c r="K27" s="66"/>
      <c r="L27" s="66"/>
      <c r="M27" s="66"/>
      <c r="N27" s="66"/>
      <c r="O27" s="41"/>
      <c r="P27" s="42"/>
      <c r="Q27" s="43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5.75" customHeight="1">
      <c r="A28" s="50"/>
      <c r="B28" s="51"/>
      <c r="C28" s="66"/>
      <c r="D28" s="66"/>
      <c r="E28" s="66"/>
      <c r="F28" s="66"/>
      <c r="G28" s="66"/>
      <c r="H28" s="66"/>
      <c r="I28" s="66"/>
      <c r="J28" s="66"/>
      <c r="K28" s="66"/>
      <c r="L28" s="66"/>
      <c r="M28" s="66"/>
      <c r="N28" s="66"/>
      <c r="O28" s="41"/>
      <c r="P28" s="42"/>
      <c r="Q28" s="43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5.75" customHeight="1">
      <c r="A29" s="50"/>
      <c r="B29" s="51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41"/>
      <c r="P29" s="42"/>
      <c r="Q29" s="43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5.75" customHeight="1">
      <c r="A30" s="511" t="s">
        <v>721</v>
      </c>
      <c r="B30" s="286"/>
      <c r="C30" s="54">
        <f t="shared" ref="C30:N30" si="1">SUM(C18:C29)</f>
        <v>0</v>
      </c>
      <c r="D30" s="55">
        <f t="shared" si="1"/>
        <v>0</v>
      </c>
      <c r="E30" s="55">
        <f t="shared" si="1"/>
        <v>0</v>
      </c>
      <c r="F30" s="55">
        <f t="shared" si="1"/>
        <v>0</v>
      </c>
      <c r="G30" s="55">
        <f t="shared" si="1"/>
        <v>0</v>
      </c>
      <c r="H30" s="55">
        <f t="shared" si="1"/>
        <v>0</v>
      </c>
      <c r="I30" s="55">
        <f t="shared" si="1"/>
        <v>0</v>
      </c>
      <c r="J30" s="55">
        <f t="shared" si="1"/>
        <v>0</v>
      </c>
      <c r="K30" s="55">
        <f t="shared" si="1"/>
        <v>0</v>
      </c>
      <c r="L30" s="55">
        <f t="shared" si="1"/>
        <v>0</v>
      </c>
      <c r="M30" s="55">
        <f t="shared" si="1"/>
        <v>0</v>
      </c>
      <c r="N30" s="67">
        <f t="shared" si="1"/>
        <v>0</v>
      </c>
      <c r="O30" s="58"/>
      <c r="P30" s="59"/>
      <c r="Q30" s="60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5.75" customHeight="1">
      <c r="A31" s="512" t="s">
        <v>724</v>
      </c>
      <c r="B31" s="286"/>
      <c r="C31" s="57"/>
      <c r="D31" s="24"/>
      <c r="E31" s="24"/>
      <c r="F31" s="24"/>
      <c r="G31" s="24"/>
      <c r="H31" s="24"/>
      <c r="I31" s="24"/>
      <c r="J31" s="24"/>
      <c r="K31" s="24"/>
      <c r="L31" s="24"/>
      <c r="M31" s="24"/>
      <c r="N31" s="24"/>
      <c r="O31" s="509" t="s">
        <v>728</v>
      </c>
      <c r="P31" s="286"/>
      <c r="Q31" s="68">
        <f>SUM(Q19:Q30)</f>
        <v>0</v>
      </c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5.75" customHeight="1">
      <c r="A32" s="515" t="s">
        <v>172</v>
      </c>
      <c r="B32" s="286"/>
      <c r="C32" s="61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34" t="s">
        <v>705</v>
      </c>
      <c r="B33" s="35" t="s">
        <v>220</v>
      </c>
      <c r="C33" s="508" t="s">
        <v>689</v>
      </c>
      <c r="D33" s="508" t="s">
        <v>690</v>
      </c>
      <c r="E33" s="508" t="s">
        <v>691</v>
      </c>
      <c r="F33" s="508" t="s">
        <v>692</v>
      </c>
      <c r="G33" s="508" t="s">
        <v>693</v>
      </c>
      <c r="H33" s="508" t="s">
        <v>694</v>
      </c>
      <c r="I33" s="508" t="s">
        <v>695</v>
      </c>
      <c r="J33" s="508" t="s">
        <v>696</v>
      </c>
      <c r="K33" s="508" t="s">
        <v>697</v>
      </c>
      <c r="L33" s="508" t="s">
        <v>698</v>
      </c>
      <c r="M33" s="508" t="s">
        <v>699</v>
      </c>
      <c r="N33" s="508" t="s">
        <v>700</v>
      </c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5.75" customHeight="1">
      <c r="A34" s="39" t="s">
        <v>701</v>
      </c>
      <c r="B34" s="40" t="s">
        <v>702</v>
      </c>
      <c r="C34" s="307"/>
      <c r="D34" s="307"/>
      <c r="E34" s="307"/>
      <c r="F34" s="307"/>
      <c r="G34" s="307"/>
      <c r="H34" s="307"/>
      <c r="I34" s="307"/>
      <c r="J34" s="307"/>
      <c r="K34" s="307"/>
      <c r="L34" s="307"/>
      <c r="M34" s="307"/>
      <c r="N34" s="307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5.75" customHeight="1">
      <c r="A35" s="44">
        <v>301</v>
      </c>
      <c r="B35" s="45" t="s">
        <v>220</v>
      </c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5.75" customHeight="1">
      <c r="A36" s="44">
        <v>302</v>
      </c>
      <c r="B36" s="69" t="s">
        <v>740</v>
      </c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5.75" customHeight="1">
      <c r="A37" s="44">
        <v>303</v>
      </c>
      <c r="B37" s="45" t="s">
        <v>741</v>
      </c>
      <c r="C37" s="48"/>
      <c r="D37" s="48"/>
      <c r="E37" s="48"/>
      <c r="F37" s="48"/>
      <c r="G37" s="48"/>
      <c r="H37" s="48"/>
      <c r="I37" s="48"/>
      <c r="J37" s="48"/>
      <c r="K37" s="48"/>
      <c r="L37" s="48"/>
      <c r="M37" s="48"/>
      <c r="N37" s="48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5.75" customHeight="1">
      <c r="A38" s="44">
        <v>304</v>
      </c>
      <c r="B38" s="45" t="s">
        <v>742</v>
      </c>
      <c r="C38" s="48"/>
      <c r="D38" s="48"/>
      <c r="E38" s="48"/>
      <c r="F38" s="48"/>
      <c r="G38" s="48"/>
      <c r="H38" s="48"/>
      <c r="I38" s="48"/>
      <c r="J38" s="48"/>
      <c r="K38" s="48"/>
      <c r="L38" s="48"/>
      <c r="M38" s="48"/>
      <c r="N38" s="48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44">
        <v>1202</v>
      </c>
      <c r="B39" s="45" t="s">
        <v>743</v>
      </c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5.75" customHeight="1">
      <c r="A40" s="44"/>
      <c r="B40" s="45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5.75" customHeight="1">
      <c r="A41" s="50"/>
      <c r="B41" s="51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  <c r="N41" s="52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5.75" customHeight="1">
      <c r="A42" s="511" t="s">
        <v>721</v>
      </c>
      <c r="B42" s="286"/>
      <c r="C42" s="54">
        <f t="shared" ref="C42:N42" si="2">SUM(C35:C41)</f>
        <v>0</v>
      </c>
      <c r="D42" s="55">
        <f t="shared" si="2"/>
        <v>0</v>
      </c>
      <c r="E42" s="55">
        <f t="shared" si="2"/>
        <v>0</v>
      </c>
      <c r="F42" s="55">
        <f t="shared" si="2"/>
        <v>0</v>
      </c>
      <c r="G42" s="55">
        <f t="shared" si="2"/>
        <v>0</v>
      </c>
      <c r="H42" s="55">
        <f t="shared" si="2"/>
        <v>0</v>
      </c>
      <c r="I42" s="55">
        <f t="shared" si="2"/>
        <v>0</v>
      </c>
      <c r="J42" s="55">
        <f t="shared" si="2"/>
        <v>0</v>
      </c>
      <c r="K42" s="55">
        <f t="shared" si="2"/>
        <v>0</v>
      </c>
      <c r="L42" s="55">
        <f t="shared" si="2"/>
        <v>0</v>
      </c>
      <c r="M42" s="55">
        <f t="shared" si="2"/>
        <v>0</v>
      </c>
      <c r="N42" s="67">
        <f t="shared" si="2"/>
        <v>0</v>
      </c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5.75" customHeight="1">
      <c r="A43" s="512" t="s">
        <v>724</v>
      </c>
      <c r="B43" s="286"/>
      <c r="C43" s="57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5.75" customHeight="1">
      <c r="A44" s="515" t="s">
        <v>172</v>
      </c>
      <c r="B44" s="286"/>
      <c r="C44" s="61">
        <f>SUM(C42:N42)</f>
        <v>0</v>
      </c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34" t="s">
        <v>707</v>
      </c>
      <c r="B45" s="35" t="s">
        <v>708</v>
      </c>
      <c r="C45" s="508" t="s">
        <v>689</v>
      </c>
      <c r="D45" s="508" t="s">
        <v>690</v>
      </c>
      <c r="E45" s="508" t="s">
        <v>691</v>
      </c>
      <c r="F45" s="508" t="s">
        <v>692</v>
      </c>
      <c r="G45" s="508" t="s">
        <v>693</v>
      </c>
      <c r="H45" s="508" t="s">
        <v>694</v>
      </c>
      <c r="I45" s="508" t="s">
        <v>695</v>
      </c>
      <c r="J45" s="508" t="s">
        <v>696</v>
      </c>
      <c r="K45" s="508" t="s">
        <v>697</v>
      </c>
      <c r="L45" s="508" t="s">
        <v>698</v>
      </c>
      <c r="M45" s="508" t="s">
        <v>699</v>
      </c>
      <c r="N45" s="508" t="s">
        <v>700</v>
      </c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5.75" customHeight="1">
      <c r="A46" s="39" t="s">
        <v>701</v>
      </c>
      <c r="B46" s="40" t="s">
        <v>702</v>
      </c>
      <c r="C46" s="307"/>
      <c r="D46" s="307"/>
      <c r="E46" s="307"/>
      <c r="F46" s="307"/>
      <c r="G46" s="307"/>
      <c r="H46" s="307"/>
      <c r="I46" s="307"/>
      <c r="J46" s="307"/>
      <c r="K46" s="307"/>
      <c r="L46" s="307"/>
      <c r="M46" s="307"/>
      <c r="N46" s="307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5.75" customHeight="1">
      <c r="A47" s="70">
        <v>401</v>
      </c>
      <c r="B47" s="69" t="s">
        <v>744</v>
      </c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5.75" customHeight="1">
      <c r="A48" s="70">
        <v>402</v>
      </c>
      <c r="B48" s="69" t="s">
        <v>745</v>
      </c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5.75" customHeight="1">
      <c r="A49" s="70">
        <v>403</v>
      </c>
      <c r="B49" s="69" t="s">
        <v>746</v>
      </c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5.75" customHeight="1">
      <c r="A50" s="70">
        <v>404</v>
      </c>
      <c r="B50" s="69" t="s">
        <v>747</v>
      </c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96" customHeight="1">
      <c r="A51" s="70">
        <v>405</v>
      </c>
      <c r="B51" s="69" t="s">
        <v>748</v>
      </c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5.75" customHeight="1">
      <c r="A52" s="70">
        <v>406</v>
      </c>
      <c r="B52" s="69" t="s">
        <v>749</v>
      </c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5.75" customHeight="1">
      <c r="A53" s="44"/>
      <c r="B53" s="45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5.75" customHeight="1">
      <c r="A54" s="50"/>
      <c r="B54" s="51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5.75" customHeight="1">
      <c r="A55" s="511" t="s">
        <v>721</v>
      </c>
      <c r="B55" s="286"/>
      <c r="C55" s="54">
        <f t="shared" ref="C55:N55" si="3">SUM(C47:C54)</f>
        <v>0</v>
      </c>
      <c r="D55" s="55">
        <f t="shared" si="3"/>
        <v>0</v>
      </c>
      <c r="E55" s="55">
        <f t="shared" si="3"/>
        <v>0</v>
      </c>
      <c r="F55" s="55">
        <f t="shared" si="3"/>
        <v>0</v>
      </c>
      <c r="G55" s="55">
        <f t="shared" si="3"/>
        <v>0</v>
      </c>
      <c r="H55" s="55">
        <f t="shared" si="3"/>
        <v>0</v>
      </c>
      <c r="I55" s="55">
        <f t="shared" si="3"/>
        <v>0</v>
      </c>
      <c r="J55" s="55">
        <f t="shared" si="3"/>
        <v>0</v>
      </c>
      <c r="K55" s="55">
        <f t="shared" si="3"/>
        <v>0</v>
      </c>
      <c r="L55" s="55">
        <f t="shared" si="3"/>
        <v>0</v>
      </c>
      <c r="M55" s="55">
        <f t="shared" si="3"/>
        <v>0</v>
      </c>
      <c r="N55" s="67">
        <f t="shared" si="3"/>
        <v>0</v>
      </c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5.75" customHeight="1">
      <c r="A56" s="512" t="s">
        <v>724</v>
      </c>
      <c r="B56" s="286"/>
      <c r="C56" s="57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515" t="s">
        <v>172</v>
      </c>
      <c r="B57" s="286"/>
      <c r="C57" s="61">
        <f>SUM(C55:N55)</f>
        <v>0</v>
      </c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5.75" customHeight="1">
      <c r="A58" s="34" t="s">
        <v>710</v>
      </c>
      <c r="B58" s="35" t="s">
        <v>711</v>
      </c>
      <c r="C58" s="508" t="s">
        <v>689</v>
      </c>
      <c r="D58" s="508" t="s">
        <v>690</v>
      </c>
      <c r="E58" s="508" t="s">
        <v>691</v>
      </c>
      <c r="F58" s="508" t="s">
        <v>692</v>
      </c>
      <c r="G58" s="508" t="s">
        <v>693</v>
      </c>
      <c r="H58" s="508" t="s">
        <v>694</v>
      </c>
      <c r="I58" s="508" t="s">
        <v>695</v>
      </c>
      <c r="J58" s="508" t="s">
        <v>696</v>
      </c>
      <c r="K58" s="508" t="s">
        <v>697</v>
      </c>
      <c r="L58" s="508" t="s">
        <v>698</v>
      </c>
      <c r="M58" s="508" t="s">
        <v>699</v>
      </c>
      <c r="N58" s="508" t="s">
        <v>700</v>
      </c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5.75" customHeight="1">
      <c r="A59" s="39" t="s">
        <v>701</v>
      </c>
      <c r="B59" s="40" t="s">
        <v>702</v>
      </c>
      <c r="C59" s="307"/>
      <c r="D59" s="307"/>
      <c r="E59" s="307"/>
      <c r="F59" s="307"/>
      <c r="G59" s="307"/>
      <c r="H59" s="307"/>
      <c r="I59" s="307"/>
      <c r="J59" s="307"/>
      <c r="K59" s="307"/>
      <c r="L59" s="307"/>
      <c r="M59" s="307"/>
      <c r="N59" s="307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5.75" customHeight="1">
      <c r="A60" s="70">
        <v>501</v>
      </c>
      <c r="B60" s="69" t="s">
        <v>750</v>
      </c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5.75" customHeight="1">
      <c r="A61" s="70">
        <v>502</v>
      </c>
      <c r="B61" s="69" t="s">
        <v>751</v>
      </c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5.75" customHeight="1">
      <c r="A62" s="70">
        <v>503</v>
      </c>
      <c r="B62" s="69" t="s">
        <v>752</v>
      </c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70">
        <v>504</v>
      </c>
      <c r="B63" s="69" t="s">
        <v>753</v>
      </c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5.75" customHeight="1">
      <c r="A64" s="70">
        <v>505</v>
      </c>
      <c r="B64" s="69" t="s">
        <v>754</v>
      </c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5.75" customHeight="1">
      <c r="A65" s="70">
        <v>506</v>
      </c>
      <c r="B65" s="69" t="s">
        <v>755</v>
      </c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5.75" customHeight="1">
      <c r="A66" s="70">
        <v>507</v>
      </c>
      <c r="B66" s="69" t="s">
        <v>756</v>
      </c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5.75" customHeight="1">
      <c r="A67" s="70">
        <v>508</v>
      </c>
      <c r="B67" s="69" t="s">
        <v>757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5.75" customHeight="1">
      <c r="A68" s="70">
        <v>509</v>
      </c>
      <c r="B68" s="69" t="s">
        <v>758</v>
      </c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5.75" customHeight="1">
      <c r="A69" s="70">
        <v>510</v>
      </c>
      <c r="B69" s="69" t="s">
        <v>759</v>
      </c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5.75" customHeight="1">
      <c r="A70" s="44"/>
      <c r="B70" s="45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5.75" customHeight="1">
      <c r="A71" s="50"/>
      <c r="B71" s="51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52"/>
      <c r="N71" s="52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5.75" customHeight="1">
      <c r="A72" s="511" t="s">
        <v>721</v>
      </c>
      <c r="B72" s="286"/>
      <c r="C72" s="54">
        <f t="shared" ref="C72:N72" si="4">SUM(C60:C71)</f>
        <v>0</v>
      </c>
      <c r="D72" s="55">
        <f t="shared" si="4"/>
        <v>0</v>
      </c>
      <c r="E72" s="55">
        <f t="shared" si="4"/>
        <v>0</v>
      </c>
      <c r="F72" s="55">
        <f t="shared" si="4"/>
        <v>0</v>
      </c>
      <c r="G72" s="55">
        <f t="shared" si="4"/>
        <v>0</v>
      </c>
      <c r="H72" s="55">
        <f t="shared" si="4"/>
        <v>0</v>
      </c>
      <c r="I72" s="55">
        <f t="shared" si="4"/>
        <v>0</v>
      </c>
      <c r="J72" s="55">
        <f t="shared" si="4"/>
        <v>0</v>
      </c>
      <c r="K72" s="55">
        <f t="shared" si="4"/>
        <v>0</v>
      </c>
      <c r="L72" s="55">
        <f t="shared" si="4"/>
        <v>0</v>
      </c>
      <c r="M72" s="55">
        <f t="shared" si="4"/>
        <v>0</v>
      </c>
      <c r="N72" s="67">
        <f t="shared" si="4"/>
        <v>0</v>
      </c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5.75" customHeight="1">
      <c r="A73" s="512" t="s">
        <v>724</v>
      </c>
      <c r="B73" s="286"/>
      <c r="C73" s="57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5.75" customHeight="1">
      <c r="A74" s="515" t="s">
        <v>172</v>
      </c>
      <c r="B74" s="286"/>
      <c r="C74" s="61">
        <f>SUM(C72:N72)</f>
        <v>0</v>
      </c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5.75" customHeight="1">
      <c r="A75" s="34" t="s">
        <v>713</v>
      </c>
      <c r="B75" s="35" t="s">
        <v>714</v>
      </c>
      <c r="C75" s="508" t="s">
        <v>689</v>
      </c>
      <c r="D75" s="508" t="s">
        <v>690</v>
      </c>
      <c r="E75" s="508" t="s">
        <v>691</v>
      </c>
      <c r="F75" s="508" t="s">
        <v>692</v>
      </c>
      <c r="G75" s="508" t="s">
        <v>693</v>
      </c>
      <c r="H75" s="508" t="s">
        <v>694</v>
      </c>
      <c r="I75" s="508" t="s">
        <v>695</v>
      </c>
      <c r="J75" s="508" t="s">
        <v>696</v>
      </c>
      <c r="K75" s="508" t="s">
        <v>697</v>
      </c>
      <c r="L75" s="508" t="s">
        <v>698</v>
      </c>
      <c r="M75" s="508" t="s">
        <v>699</v>
      </c>
      <c r="N75" s="508" t="s">
        <v>700</v>
      </c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5.75" customHeight="1">
      <c r="A76" s="39" t="s">
        <v>701</v>
      </c>
      <c r="B76" s="40" t="s">
        <v>702</v>
      </c>
      <c r="C76" s="307"/>
      <c r="D76" s="307"/>
      <c r="E76" s="307"/>
      <c r="F76" s="307"/>
      <c r="G76" s="307"/>
      <c r="H76" s="307"/>
      <c r="I76" s="307"/>
      <c r="J76" s="307"/>
      <c r="K76" s="307"/>
      <c r="L76" s="307"/>
      <c r="M76" s="307"/>
      <c r="N76" s="307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5.75" customHeight="1">
      <c r="A77" s="44">
        <v>601</v>
      </c>
      <c r="B77" s="45" t="s">
        <v>714</v>
      </c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5.75" customHeight="1">
      <c r="A78" s="44">
        <v>602</v>
      </c>
      <c r="B78" s="45" t="s">
        <v>760</v>
      </c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5.75" customHeight="1">
      <c r="A79" s="44"/>
      <c r="B79" s="45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5.75" customHeight="1">
      <c r="A80" s="44"/>
      <c r="B80" s="45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5.75" customHeight="1">
      <c r="A81" s="44"/>
      <c r="B81" s="45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5.75" customHeight="1">
      <c r="A82" s="44"/>
      <c r="B82" s="45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5.75" customHeight="1">
      <c r="A83" s="44"/>
      <c r="B83" s="45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5.75" customHeight="1">
      <c r="A84" s="50"/>
      <c r="B84" s="51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52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5.75" customHeight="1">
      <c r="A85" s="511" t="s">
        <v>721</v>
      </c>
      <c r="B85" s="286"/>
      <c r="C85" s="54">
        <f t="shared" ref="C85:N85" si="5">SUM(C77:C84)</f>
        <v>0</v>
      </c>
      <c r="D85" s="55">
        <f t="shared" si="5"/>
        <v>0</v>
      </c>
      <c r="E85" s="55">
        <f t="shared" si="5"/>
        <v>0</v>
      </c>
      <c r="F85" s="55">
        <f t="shared" si="5"/>
        <v>0</v>
      </c>
      <c r="G85" s="55">
        <f t="shared" si="5"/>
        <v>0</v>
      </c>
      <c r="H85" s="55">
        <f t="shared" si="5"/>
        <v>0</v>
      </c>
      <c r="I85" s="55">
        <f t="shared" si="5"/>
        <v>0</v>
      </c>
      <c r="J85" s="55">
        <f t="shared" si="5"/>
        <v>0</v>
      </c>
      <c r="K85" s="55">
        <f t="shared" si="5"/>
        <v>0</v>
      </c>
      <c r="L85" s="55">
        <f t="shared" si="5"/>
        <v>0</v>
      </c>
      <c r="M85" s="55">
        <f t="shared" si="5"/>
        <v>0</v>
      </c>
      <c r="N85" s="67">
        <f t="shared" si="5"/>
        <v>0</v>
      </c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5.75" customHeight="1">
      <c r="A86" s="512" t="s">
        <v>724</v>
      </c>
      <c r="B86" s="286"/>
      <c r="C86" s="57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5.75" customHeight="1">
      <c r="A87" s="515" t="s">
        <v>172</v>
      </c>
      <c r="B87" s="286"/>
      <c r="C87" s="61">
        <f>SUM(C85:N85)</f>
        <v>0</v>
      </c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5.75" customHeight="1">
      <c r="A88" s="34" t="s">
        <v>716</v>
      </c>
      <c r="B88" s="35" t="s">
        <v>761</v>
      </c>
      <c r="C88" s="508" t="s">
        <v>689</v>
      </c>
      <c r="D88" s="508" t="s">
        <v>690</v>
      </c>
      <c r="E88" s="508" t="s">
        <v>691</v>
      </c>
      <c r="F88" s="508" t="s">
        <v>692</v>
      </c>
      <c r="G88" s="508" t="s">
        <v>693</v>
      </c>
      <c r="H88" s="508" t="s">
        <v>694</v>
      </c>
      <c r="I88" s="508" t="s">
        <v>695</v>
      </c>
      <c r="J88" s="508" t="s">
        <v>696</v>
      </c>
      <c r="K88" s="508" t="s">
        <v>697</v>
      </c>
      <c r="L88" s="508" t="s">
        <v>698</v>
      </c>
      <c r="M88" s="508" t="s">
        <v>699</v>
      </c>
      <c r="N88" s="508" t="s">
        <v>700</v>
      </c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5.75" customHeight="1">
      <c r="A89" s="39" t="s">
        <v>701</v>
      </c>
      <c r="B89" s="40" t="s">
        <v>702</v>
      </c>
      <c r="C89" s="307"/>
      <c r="D89" s="307"/>
      <c r="E89" s="307"/>
      <c r="F89" s="307"/>
      <c r="G89" s="307"/>
      <c r="H89" s="307"/>
      <c r="I89" s="307"/>
      <c r="J89" s="307"/>
      <c r="K89" s="307"/>
      <c r="L89" s="307"/>
      <c r="M89" s="307"/>
      <c r="N89" s="307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5.75" customHeight="1">
      <c r="A90" s="70">
        <v>701</v>
      </c>
      <c r="B90" s="69" t="s">
        <v>762</v>
      </c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5.75" customHeight="1">
      <c r="A91" s="70">
        <v>702</v>
      </c>
      <c r="B91" s="69" t="s">
        <v>763</v>
      </c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5.75" customHeight="1">
      <c r="A92" s="70">
        <v>703</v>
      </c>
      <c r="B92" s="69" t="s">
        <v>764</v>
      </c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5.75" customHeight="1">
      <c r="A93" s="70">
        <v>704</v>
      </c>
      <c r="B93" s="69" t="s">
        <v>765</v>
      </c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5.75" customHeight="1">
      <c r="A94" s="70">
        <v>705</v>
      </c>
      <c r="B94" s="69" t="s">
        <v>766</v>
      </c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5.75" customHeight="1">
      <c r="A95" s="70">
        <v>706</v>
      </c>
      <c r="B95" s="69" t="s">
        <v>509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5.75" customHeight="1">
      <c r="A96" s="70">
        <v>709</v>
      </c>
      <c r="B96" s="69" t="s">
        <v>767</v>
      </c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5.75" customHeight="1">
      <c r="A97" s="70">
        <v>710</v>
      </c>
      <c r="B97" s="69" t="s">
        <v>768</v>
      </c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5.75" customHeight="1">
      <c r="A98" s="44"/>
      <c r="B98" s="45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5.75" customHeight="1">
      <c r="A99" s="50"/>
      <c r="B99" s="51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52"/>
      <c r="N99" s="52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5.75" customHeight="1">
      <c r="A100" s="511" t="s">
        <v>721</v>
      </c>
      <c r="B100" s="286"/>
      <c r="C100" s="54">
        <f t="shared" ref="C100:N100" si="6">SUM(C90:C99)</f>
        <v>0</v>
      </c>
      <c r="D100" s="55">
        <f t="shared" si="6"/>
        <v>0</v>
      </c>
      <c r="E100" s="55">
        <f t="shared" si="6"/>
        <v>0</v>
      </c>
      <c r="F100" s="55">
        <f t="shared" si="6"/>
        <v>0</v>
      </c>
      <c r="G100" s="55">
        <f t="shared" si="6"/>
        <v>0</v>
      </c>
      <c r="H100" s="55">
        <f t="shared" si="6"/>
        <v>0</v>
      </c>
      <c r="I100" s="55">
        <f t="shared" si="6"/>
        <v>0</v>
      </c>
      <c r="J100" s="55">
        <f t="shared" si="6"/>
        <v>0</v>
      </c>
      <c r="K100" s="55">
        <f t="shared" si="6"/>
        <v>0</v>
      </c>
      <c r="L100" s="55">
        <f t="shared" si="6"/>
        <v>0</v>
      </c>
      <c r="M100" s="55">
        <f t="shared" si="6"/>
        <v>0</v>
      </c>
      <c r="N100" s="67">
        <f t="shared" si="6"/>
        <v>0</v>
      </c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5.75" customHeight="1">
      <c r="A101" s="512" t="s">
        <v>724</v>
      </c>
      <c r="B101" s="286"/>
      <c r="C101" s="57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5.75" customHeight="1">
      <c r="A102" s="515" t="s">
        <v>172</v>
      </c>
      <c r="B102" s="286"/>
      <c r="C102" s="61">
        <f>SUM(C100:N100)</f>
        <v>0</v>
      </c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5.75" customHeight="1">
      <c r="A103" s="34" t="s">
        <v>718</v>
      </c>
      <c r="B103" s="35" t="s">
        <v>107</v>
      </c>
      <c r="C103" s="508" t="s">
        <v>689</v>
      </c>
      <c r="D103" s="508" t="s">
        <v>690</v>
      </c>
      <c r="E103" s="508" t="s">
        <v>691</v>
      </c>
      <c r="F103" s="508" t="s">
        <v>692</v>
      </c>
      <c r="G103" s="508" t="s">
        <v>693</v>
      </c>
      <c r="H103" s="508" t="s">
        <v>694</v>
      </c>
      <c r="I103" s="508" t="s">
        <v>695</v>
      </c>
      <c r="J103" s="508" t="s">
        <v>696</v>
      </c>
      <c r="K103" s="508" t="s">
        <v>697</v>
      </c>
      <c r="L103" s="508" t="s">
        <v>698</v>
      </c>
      <c r="M103" s="508" t="s">
        <v>699</v>
      </c>
      <c r="N103" s="508" t="s">
        <v>700</v>
      </c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5.75" customHeight="1">
      <c r="A104" s="39" t="s">
        <v>701</v>
      </c>
      <c r="B104" s="40" t="s">
        <v>702</v>
      </c>
      <c r="C104" s="307"/>
      <c r="D104" s="307"/>
      <c r="E104" s="307"/>
      <c r="F104" s="307"/>
      <c r="G104" s="307"/>
      <c r="H104" s="307"/>
      <c r="I104" s="307"/>
      <c r="J104" s="307"/>
      <c r="K104" s="307"/>
      <c r="L104" s="307"/>
      <c r="M104" s="307"/>
      <c r="N104" s="307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5.75" customHeight="1">
      <c r="A105" s="70">
        <v>801</v>
      </c>
      <c r="B105" s="69" t="s">
        <v>769</v>
      </c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5.75" customHeight="1">
      <c r="A106" s="70">
        <v>802</v>
      </c>
      <c r="B106" s="69" t="s">
        <v>770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5.75" customHeight="1">
      <c r="A107" s="70">
        <v>803</v>
      </c>
      <c r="B107" s="69" t="s">
        <v>771</v>
      </c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5.75" customHeight="1">
      <c r="A108" s="70">
        <v>708</v>
      </c>
      <c r="B108" s="69" t="s">
        <v>772</v>
      </c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5.75" customHeight="1">
      <c r="A109" s="44"/>
      <c r="B109" s="45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5.75" customHeight="1">
      <c r="A110" s="44"/>
      <c r="B110" s="45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5.75" customHeight="1">
      <c r="A111" s="44"/>
      <c r="B111" s="45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5.75" customHeight="1">
      <c r="A112" s="50"/>
      <c r="B112" s="51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52"/>
      <c r="N112" s="52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5.75" customHeight="1">
      <c r="A113" s="511" t="s">
        <v>721</v>
      </c>
      <c r="B113" s="286"/>
      <c r="C113" s="54">
        <f t="shared" ref="C113:N113" si="7">SUM(C105:C112)</f>
        <v>0</v>
      </c>
      <c r="D113" s="55">
        <f t="shared" si="7"/>
        <v>0</v>
      </c>
      <c r="E113" s="55">
        <f t="shared" si="7"/>
        <v>0</v>
      </c>
      <c r="F113" s="55">
        <f t="shared" si="7"/>
        <v>0</v>
      </c>
      <c r="G113" s="55">
        <f t="shared" si="7"/>
        <v>0</v>
      </c>
      <c r="H113" s="55">
        <f t="shared" si="7"/>
        <v>0</v>
      </c>
      <c r="I113" s="55">
        <f t="shared" si="7"/>
        <v>0</v>
      </c>
      <c r="J113" s="55">
        <f t="shared" si="7"/>
        <v>0</v>
      </c>
      <c r="K113" s="55">
        <f t="shared" si="7"/>
        <v>0</v>
      </c>
      <c r="L113" s="55">
        <f t="shared" si="7"/>
        <v>0</v>
      </c>
      <c r="M113" s="55">
        <f t="shared" si="7"/>
        <v>0</v>
      </c>
      <c r="N113" s="67">
        <f t="shared" si="7"/>
        <v>0</v>
      </c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5.75" customHeight="1">
      <c r="A114" s="512" t="s">
        <v>724</v>
      </c>
      <c r="B114" s="286"/>
      <c r="C114" s="57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5.75" customHeight="1">
      <c r="A115" s="515" t="s">
        <v>172</v>
      </c>
      <c r="B115" s="286"/>
      <c r="C115" s="61">
        <f>SUM(C113:N113)</f>
        <v>0</v>
      </c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5.75" customHeight="1">
      <c r="A116" s="34" t="s">
        <v>719</v>
      </c>
      <c r="B116" s="35" t="s">
        <v>652</v>
      </c>
      <c r="C116" s="508" t="s">
        <v>689</v>
      </c>
      <c r="D116" s="508" t="s">
        <v>690</v>
      </c>
      <c r="E116" s="508" t="s">
        <v>691</v>
      </c>
      <c r="F116" s="508" t="s">
        <v>692</v>
      </c>
      <c r="G116" s="508" t="s">
        <v>693</v>
      </c>
      <c r="H116" s="508" t="s">
        <v>694</v>
      </c>
      <c r="I116" s="508" t="s">
        <v>695</v>
      </c>
      <c r="J116" s="508" t="s">
        <v>696</v>
      </c>
      <c r="K116" s="508" t="s">
        <v>697</v>
      </c>
      <c r="L116" s="508" t="s">
        <v>698</v>
      </c>
      <c r="M116" s="508" t="s">
        <v>699</v>
      </c>
      <c r="N116" s="508" t="s">
        <v>700</v>
      </c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5.75" customHeight="1">
      <c r="A117" s="39" t="s">
        <v>701</v>
      </c>
      <c r="B117" s="40" t="s">
        <v>702</v>
      </c>
      <c r="C117" s="307"/>
      <c r="D117" s="307"/>
      <c r="E117" s="307"/>
      <c r="F117" s="307"/>
      <c r="G117" s="307"/>
      <c r="H117" s="307"/>
      <c r="I117" s="307"/>
      <c r="J117" s="307"/>
      <c r="K117" s="307"/>
      <c r="L117" s="307"/>
      <c r="M117" s="307"/>
      <c r="N117" s="307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5.75" customHeight="1">
      <c r="A118" s="70">
        <v>901</v>
      </c>
      <c r="B118" s="69" t="s">
        <v>773</v>
      </c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5.75" customHeight="1">
      <c r="A119" s="70">
        <v>902</v>
      </c>
      <c r="B119" s="69" t="s">
        <v>774</v>
      </c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5.75" customHeight="1">
      <c r="A120" s="70">
        <v>903</v>
      </c>
      <c r="B120" s="69" t="s">
        <v>775</v>
      </c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5.75" customHeight="1">
      <c r="A121" s="44"/>
      <c r="B121" s="45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5.75" customHeight="1">
      <c r="A122" s="44"/>
      <c r="B122" s="45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5.75" customHeight="1">
      <c r="A123" s="44"/>
      <c r="B123" s="45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5.75" customHeight="1">
      <c r="A124" s="44"/>
      <c r="B124" s="45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5.75" customHeight="1">
      <c r="A125" s="50"/>
      <c r="B125" s="51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52"/>
      <c r="N125" s="52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5.75" customHeight="1">
      <c r="A126" s="511" t="s">
        <v>721</v>
      </c>
      <c r="B126" s="286"/>
      <c r="C126" s="54">
        <f t="shared" ref="C126:N126" si="8">SUM(C118:C125)</f>
        <v>0</v>
      </c>
      <c r="D126" s="55">
        <f t="shared" si="8"/>
        <v>0</v>
      </c>
      <c r="E126" s="55">
        <f t="shared" si="8"/>
        <v>0</v>
      </c>
      <c r="F126" s="55">
        <f t="shared" si="8"/>
        <v>0</v>
      </c>
      <c r="G126" s="55">
        <f t="shared" si="8"/>
        <v>0</v>
      </c>
      <c r="H126" s="55">
        <f t="shared" si="8"/>
        <v>0</v>
      </c>
      <c r="I126" s="55">
        <f t="shared" si="8"/>
        <v>0</v>
      </c>
      <c r="J126" s="55">
        <f t="shared" si="8"/>
        <v>0</v>
      </c>
      <c r="K126" s="55">
        <f t="shared" si="8"/>
        <v>0</v>
      </c>
      <c r="L126" s="55">
        <f t="shared" si="8"/>
        <v>0</v>
      </c>
      <c r="M126" s="55">
        <f t="shared" si="8"/>
        <v>0</v>
      </c>
      <c r="N126" s="67">
        <f t="shared" si="8"/>
        <v>0</v>
      </c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5.75" customHeight="1">
      <c r="A127" s="512" t="s">
        <v>724</v>
      </c>
      <c r="B127" s="286"/>
      <c r="C127" s="57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5.75" customHeight="1">
      <c r="A128" s="515" t="s">
        <v>172</v>
      </c>
      <c r="B128" s="286"/>
      <c r="C128" s="61">
        <f>SUM(C126:N126)</f>
        <v>0</v>
      </c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5.75" customHeight="1">
      <c r="A129" s="34" t="s">
        <v>720</v>
      </c>
      <c r="B129" s="35" t="s">
        <v>531</v>
      </c>
      <c r="C129" s="508" t="s">
        <v>689</v>
      </c>
      <c r="D129" s="508" t="s">
        <v>690</v>
      </c>
      <c r="E129" s="508" t="s">
        <v>691</v>
      </c>
      <c r="F129" s="508" t="s">
        <v>692</v>
      </c>
      <c r="G129" s="508" t="s">
        <v>693</v>
      </c>
      <c r="H129" s="508" t="s">
        <v>694</v>
      </c>
      <c r="I129" s="508" t="s">
        <v>695</v>
      </c>
      <c r="J129" s="508" t="s">
        <v>696</v>
      </c>
      <c r="K129" s="508" t="s">
        <v>697</v>
      </c>
      <c r="L129" s="508" t="s">
        <v>698</v>
      </c>
      <c r="M129" s="508" t="s">
        <v>699</v>
      </c>
      <c r="N129" s="508" t="s">
        <v>700</v>
      </c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5.75" customHeight="1">
      <c r="A130" s="39" t="s">
        <v>701</v>
      </c>
      <c r="B130" s="40" t="s">
        <v>702</v>
      </c>
      <c r="C130" s="307"/>
      <c r="D130" s="307"/>
      <c r="E130" s="307"/>
      <c r="F130" s="307"/>
      <c r="G130" s="307"/>
      <c r="H130" s="307"/>
      <c r="I130" s="307"/>
      <c r="J130" s="307"/>
      <c r="K130" s="307"/>
      <c r="L130" s="307"/>
      <c r="M130" s="307"/>
      <c r="N130" s="307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5.75" customHeight="1">
      <c r="A131" s="70">
        <v>1001</v>
      </c>
      <c r="B131" s="69" t="s">
        <v>531</v>
      </c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5.75" customHeight="1">
      <c r="A132" s="70">
        <v>1002</v>
      </c>
      <c r="B132" s="69" t="s">
        <v>776</v>
      </c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5.75" customHeight="1">
      <c r="A133" s="70">
        <v>1004</v>
      </c>
      <c r="B133" s="69" t="s">
        <v>777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5.75" customHeight="1">
      <c r="A134" s="70">
        <v>1105</v>
      </c>
      <c r="B134" s="69" t="s">
        <v>778</v>
      </c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5.75" customHeight="1">
      <c r="A135" s="44"/>
      <c r="B135" s="45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5.75" customHeight="1">
      <c r="A136" s="44"/>
      <c r="B136" s="45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5.75" customHeight="1">
      <c r="A137" s="44"/>
      <c r="B137" s="45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5.75" customHeight="1">
      <c r="A138" s="50"/>
      <c r="B138" s="51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5.75" customHeight="1">
      <c r="A139" s="511" t="s">
        <v>721</v>
      </c>
      <c r="B139" s="286"/>
      <c r="C139" s="54">
        <f t="shared" ref="C139:N139" si="9">SUM(C131:C138)</f>
        <v>0</v>
      </c>
      <c r="D139" s="55">
        <f t="shared" si="9"/>
        <v>0</v>
      </c>
      <c r="E139" s="55">
        <f t="shared" si="9"/>
        <v>0</v>
      </c>
      <c r="F139" s="55">
        <f t="shared" si="9"/>
        <v>0</v>
      </c>
      <c r="G139" s="55">
        <f t="shared" si="9"/>
        <v>0</v>
      </c>
      <c r="H139" s="55">
        <f t="shared" si="9"/>
        <v>0</v>
      </c>
      <c r="I139" s="55">
        <f t="shared" si="9"/>
        <v>0</v>
      </c>
      <c r="J139" s="55">
        <f t="shared" si="9"/>
        <v>0</v>
      </c>
      <c r="K139" s="55">
        <f t="shared" si="9"/>
        <v>0</v>
      </c>
      <c r="L139" s="55">
        <f t="shared" si="9"/>
        <v>0</v>
      </c>
      <c r="M139" s="55">
        <f t="shared" si="9"/>
        <v>0</v>
      </c>
      <c r="N139" s="67">
        <f t="shared" si="9"/>
        <v>0</v>
      </c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5.75" customHeight="1">
      <c r="A140" s="512" t="s">
        <v>724</v>
      </c>
      <c r="B140" s="286"/>
      <c r="C140" s="57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5.75" customHeight="1">
      <c r="A141" s="515" t="s">
        <v>172</v>
      </c>
      <c r="B141" s="286"/>
      <c r="C141" s="61">
        <f>SUM(C139:N139)</f>
        <v>0</v>
      </c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5.75" customHeight="1">
      <c r="A142" s="34" t="s">
        <v>722</v>
      </c>
      <c r="B142" s="35" t="s">
        <v>723</v>
      </c>
      <c r="C142" s="508" t="s">
        <v>689</v>
      </c>
      <c r="D142" s="508" t="s">
        <v>690</v>
      </c>
      <c r="E142" s="508" t="s">
        <v>691</v>
      </c>
      <c r="F142" s="508" t="s">
        <v>692</v>
      </c>
      <c r="G142" s="508" t="s">
        <v>693</v>
      </c>
      <c r="H142" s="508" t="s">
        <v>694</v>
      </c>
      <c r="I142" s="508" t="s">
        <v>695</v>
      </c>
      <c r="J142" s="508" t="s">
        <v>696</v>
      </c>
      <c r="K142" s="508" t="s">
        <v>697</v>
      </c>
      <c r="L142" s="508" t="s">
        <v>698</v>
      </c>
      <c r="M142" s="508" t="s">
        <v>699</v>
      </c>
      <c r="N142" s="508" t="s">
        <v>700</v>
      </c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5.75" customHeight="1">
      <c r="A143" s="39" t="s">
        <v>701</v>
      </c>
      <c r="B143" s="40" t="s">
        <v>702</v>
      </c>
      <c r="C143" s="307"/>
      <c r="D143" s="307"/>
      <c r="E143" s="307"/>
      <c r="F143" s="307"/>
      <c r="G143" s="307"/>
      <c r="H143" s="307"/>
      <c r="I143" s="307"/>
      <c r="J143" s="307"/>
      <c r="K143" s="307"/>
      <c r="L143" s="307"/>
      <c r="M143" s="307"/>
      <c r="N143" s="307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5.75" customHeight="1">
      <c r="A144" s="70">
        <v>1101</v>
      </c>
      <c r="B144" s="69" t="s">
        <v>779</v>
      </c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5.75" customHeight="1">
      <c r="A145" s="70">
        <v>1102</v>
      </c>
      <c r="B145" s="69" t="s">
        <v>780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5.75" customHeight="1">
      <c r="A146" s="70">
        <v>1103</v>
      </c>
      <c r="B146" s="69" t="s">
        <v>781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5.75" customHeight="1">
      <c r="A147" s="70">
        <v>1104</v>
      </c>
      <c r="B147" s="69" t="s">
        <v>782</v>
      </c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5.75" customHeight="1">
      <c r="A148" s="44"/>
      <c r="B148" s="45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5.75" customHeight="1">
      <c r="A149" s="44"/>
      <c r="B149" s="45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5.75" customHeight="1">
      <c r="A150" s="44"/>
      <c r="B150" s="45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5.75" customHeight="1">
      <c r="A151" s="50"/>
      <c r="B151" s="51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52"/>
      <c r="N151" s="52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5.75" customHeight="1">
      <c r="A152" s="511" t="s">
        <v>721</v>
      </c>
      <c r="B152" s="286"/>
      <c r="C152" s="54">
        <f t="shared" ref="C152:N152" si="10">SUM(C144:C151)</f>
        <v>0</v>
      </c>
      <c r="D152" s="55">
        <f t="shared" si="10"/>
        <v>0</v>
      </c>
      <c r="E152" s="55">
        <f t="shared" si="10"/>
        <v>0</v>
      </c>
      <c r="F152" s="55">
        <f t="shared" si="10"/>
        <v>0</v>
      </c>
      <c r="G152" s="55">
        <f t="shared" si="10"/>
        <v>0</v>
      </c>
      <c r="H152" s="55">
        <f t="shared" si="10"/>
        <v>0</v>
      </c>
      <c r="I152" s="55">
        <f t="shared" si="10"/>
        <v>0</v>
      </c>
      <c r="J152" s="55">
        <f t="shared" si="10"/>
        <v>0</v>
      </c>
      <c r="K152" s="55">
        <f t="shared" si="10"/>
        <v>0</v>
      </c>
      <c r="L152" s="55">
        <f t="shared" si="10"/>
        <v>0</v>
      </c>
      <c r="M152" s="55">
        <f t="shared" si="10"/>
        <v>0</v>
      </c>
      <c r="N152" s="67">
        <f t="shared" si="10"/>
        <v>0</v>
      </c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5.75" customHeight="1">
      <c r="A153" s="512" t="s">
        <v>724</v>
      </c>
      <c r="B153" s="286"/>
      <c r="C153" s="57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5.75" customHeight="1">
      <c r="A154" s="515" t="s">
        <v>172</v>
      </c>
      <c r="B154" s="286"/>
      <c r="C154" s="61">
        <f>SUM(C152:N152)</f>
        <v>0</v>
      </c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5.75" customHeight="1">
      <c r="A155" s="34" t="s">
        <v>725</v>
      </c>
      <c r="B155" s="35" t="s">
        <v>726</v>
      </c>
      <c r="C155" s="508" t="s">
        <v>689</v>
      </c>
      <c r="D155" s="508" t="s">
        <v>690</v>
      </c>
      <c r="E155" s="508" t="s">
        <v>691</v>
      </c>
      <c r="F155" s="508" t="s">
        <v>692</v>
      </c>
      <c r="G155" s="508" t="s">
        <v>693</v>
      </c>
      <c r="H155" s="508" t="s">
        <v>694</v>
      </c>
      <c r="I155" s="508" t="s">
        <v>695</v>
      </c>
      <c r="J155" s="508" t="s">
        <v>696</v>
      </c>
      <c r="K155" s="508" t="s">
        <v>697</v>
      </c>
      <c r="L155" s="508" t="s">
        <v>698</v>
      </c>
      <c r="M155" s="508" t="s">
        <v>699</v>
      </c>
      <c r="N155" s="508" t="s">
        <v>700</v>
      </c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5.75" customHeight="1">
      <c r="A156" s="39" t="s">
        <v>701</v>
      </c>
      <c r="B156" s="40" t="s">
        <v>702</v>
      </c>
      <c r="C156" s="307"/>
      <c r="D156" s="307"/>
      <c r="E156" s="307"/>
      <c r="F156" s="307"/>
      <c r="G156" s="307"/>
      <c r="H156" s="307"/>
      <c r="I156" s="307"/>
      <c r="J156" s="307"/>
      <c r="K156" s="307"/>
      <c r="L156" s="307"/>
      <c r="M156" s="307"/>
      <c r="N156" s="307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5.75" customHeight="1">
      <c r="A157" s="70">
        <v>1201</v>
      </c>
      <c r="B157" s="69" t="s">
        <v>783</v>
      </c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5.75" customHeight="1">
      <c r="A158" s="70">
        <v>1203</v>
      </c>
      <c r="B158" s="69" t="s">
        <v>784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5.75" customHeight="1">
      <c r="A159" s="70">
        <v>1204</v>
      </c>
      <c r="B159" s="69" t="s">
        <v>785</v>
      </c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5.75" customHeight="1">
      <c r="A160" s="70">
        <v>1205</v>
      </c>
      <c r="B160" s="69" t="s">
        <v>786</v>
      </c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5.75" customHeight="1">
      <c r="A161" s="70">
        <v>707</v>
      </c>
      <c r="B161" s="69" t="s">
        <v>787</v>
      </c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5.75" customHeight="1">
      <c r="A162" s="44"/>
      <c r="B162" s="45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5.75" customHeight="1">
      <c r="A163" s="44"/>
      <c r="B163" s="45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5.75" customHeight="1">
      <c r="A164" s="50"/>
      <c r="B164" s="51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52"/>
      <c r="N164" s="52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5.75" customHeight="1">
      <c r="A165" s="511" t="s">
        <v>721</v>
      </c>
      <c r="B165" s="286"/>
      <c r="C165" s="54">
        <f t="shared" ref="C165:N165" si="11">SUM(C157:C164)</f>
        <v>0</v>
      </c>
      <c r="D165" s="55">
        <f t="shared" si="11"/>
        <v>0</v>
      </c>
      <c r="E165" s="55">
        <f t="shared" si="11"/>
        <v>0</v>
      </c>
      <c r="F165" s="55">
        <f t="shared" si="11"/>
        <v>0</v>
      </c>
      <c r="G165" s="55">
        <f t="shared" si="11"/>
        <v>0</v>
      </c>
      <c r="H165" s="55">
        <f t="shared" si="11"/>
        <v>0</v>
      </c>
      <c r="I165" s="55">
        <f t="shared" si="11"/>
        <v>0</v>
      </c>
      <c r="J165" s="55">
        <f t="shared" si="11"/>
        <v>0</v>
      </c>
      <c r="K165" s="55">
        <f t="shared" si="11"/>
        <v>0</v>
      </c>
      <c r="L165" s="55">
        <f t="shared" si="11"/>
        <v>0</v>
      </c>
      <c r="M165" s="55">
        <f t="shared" si="11"/>
        <v>0</v>
      </c>
      <c r="N165" s="67">
        <f t="shared" si="11"/>
        <v>0</v>
      </c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5.75" customHeight="1">
      <c r="A166" s="512" t="s">
        <v>724</v>
      </c>
      <c r="B166" s="286"/>
      <c r="C166" s="57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5.75" customHeight="1">
      <c r="A167" s="516" t="s">
        <v>172</v>
      </c>
      <c r="B167" s="296"/>
      <c r="C167" s="71">
        <f>SUM(C165:N165)</f>
        <v>0</v>
      </c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33.75" customHeight="1">
      <c r="A168" s="517" t="s">
        <v>788</v>
      </c>
      <c r="B168" s="281"/>
      <c r="C168" s="281"/>
      <c r="D168" s="281"/>
      <c r="E168" s="281"/>
      <c r="F168" s="281"/>
      <c r="G168" s="281"/>
      <c r="H168" s="281"/>
      <c r="I168" s="281"/>
      <c r="J168" s="281"/>
      <c r="K168" s="281"/>
      <c r="L168" s="281"/>
      <c r="M168" s="281"/>
      <c r="N168" s="282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52.5" customHeight="1">
      <c r="A169" s="279"/>
      <c r="B169" s="283"/>
      <c r="C169" s="283"/>
      <c r="D169" s="283"/>
      <c r="E169" s="283"/>
      <c r="F169" s="283"/>
      <c r="G169" s="283"/>
      <c r="H169" s="283"/>
      <c r="I169" s="283"/>
      <c r="J169" s="283"/>
      <c r="K169" s="283"/>
      <c r="L169" s="283"/>
      <c r="M169" s="283"/>
      <c r="N169" s="28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5.75" customHeight="1">
      <c r="A170" s="34"/>
      <c r="B170" s="35"/>
      <c r="C170" s="508" t="s">
        <v>689</v>
      </c>
      <c r="D170" s="508" t="s">
        <v>690</v>
      </c>
      <c r="E170" s="508" t="s">
        <v>691</v>
      </c>
      <c r="F170" s="508" t="s">
        <v>692</v>
      </c>
      <c r="G170" s="508" t="s">
        <v>693</v>
      </c>
      <c r="H170" s="508" t="s">
        <v>694</v>
      </c>
      <c r="I170" s="508" t="s">
        <v>695</v>
      </c>
      <c r="J170" s="508" t="s">
        <v>696</v>
      </c>
      <c r="K170" s="508" t="s">
        <v>697</v>
      </c>
      <c r="L170" s="508" t="s">
        <v>698</v>
      </c>
      <c r="M170" s="508" t="s">
        <v>699</v>
      </c>
      <c r="N170" s="508" t="s">
        <v>700</v>
      </c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5.75" customHeight="1">
      <c r="A171" s="39" t="s">
        <v>701</v>
      </c>
      <c r="B171" s="40" t="s">
        <v>789</v>
      </c>
      <c r="C171" s="307"/>
      <c r="D171" s="307"/>
      <c r="E171" s="307"/>
      <c r="F171" s="307"/>
      <c r="G171" s="307"/>
      <c r="H171" s="307"/>
      <c r="I171" s="307"/>
      <c r="J171" s="307"/>
      <c r="K171" s="307"/>
      <c r="L171" s="307"/>
      <c r="M171" s="307"/>
      <c r="N171" s="307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5.75" customHeight="1">
      <c r="A172" s="44"/>
      <c r="B172" s="45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5.75" customHeight="1">
      <c r="A173" s="44"/>
      <c r="B173" s="45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5.75" customHeight="1">
      <c r="A174" s="44"/>
      <c r="B174" s="45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5.75" customHeight="1">
      <c r="A175" s="44"/>
      <c r="B175" s="45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5.75" customHeight="1">
      <c r="A176" s="44"/>
      <c r="B176" s="45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5.75" customHeight="1">
      <c r="A177" s="44"/>
      <c r="B177" s="45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5.75" customHeight="1">
      <c r="A178" s="44"/>
      <c r="B178" s="45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5.75" customHeight="1">
      <c r="A179" s="50"/>
      <c r="B179" s="51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5.75" customHeight="1">
      <c r="A180" s="511" t="s">
        <v>721</v>
      </c>
      <c r="B180" s="286"/>
      <c r="C180" s="54">
        <f t="shared" ref="C180:N180" si="12">SUM(C172:C179)</f>
        <v>0</v>
      </c>
      <c r="D180" s="55">
        <f t="shared" si="12"/>
        <v>0</v>
      </c>
      <c r="E180" s="55">
        <f t="shared" si="12"/>
        <v>0</v>
      </c>
      <c r="F180" s="55">
        <f t="shared" si="12"/>
        <v>0</v>
      </c>
      <c r="G180" s="55">
        <f t="shared" si="12"/>
        <v>0</v>
      </c>
      <c r="H180" s="55">
        <f t="shared" si="12"/>
        <v>0</v>
      </c>
      <c r="I180" s="55">
        <f t="shared" si="12"/>
        <v>0</v>
      </c>
      <c r="J180" s="55">
        <f t="shared" si="12"/>
        <v>0</v>
      </c>
      <c r="K180" s="55">
        <f t="shared" si="12"/>
        <v>0</v>
      </c>
      <c r="L180" s="55">
        <f t="shared" si="12"/>
        <v>0</v>
      </c>
      <c r="M180" s="55">
        <f t="shared" si="12"/>
        <v>0</v>
      </c>
      <c r="N180" s="67">
        <f t="shared" si="12"/>
        <v>0</v>
      </c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5.75" customHeight="1">
      <c r="A181" s="512" t="s">
        <v>724</v>
      </c>
      <c r="B181" s="286"/>
      <c r="C181" s="57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5.75" customHeight="1">
      <c r="A182" s="515" t="s">
        <v>172</v>
      </c>
      <c r="B182" s="286"/>
      <c r="C182" s="61">
        <f>SUM(C180:N180)</f>
        <v>0</v>
      </c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5.75" customHeight="1">
      <c r="A183" s="34"/>
      <c r="B183" s="35"/>
      <c r="C183" s="508" t="s">
        <v>689</v>
      </c>
      <c r="D183" s="508" t="s">
        <v>690</v>
      </c>
      <c r="E183" s="508" t="s">
        <v>691</v>
      </c>
      <c r="F183" s="508" t="s">
        <v>692</v>
      </c>
      <c r="G183" s="508" t="s">
        <v>693</v>
      </c>
      <c r="H183" s="508" t="s">
        <v>694</v>
      </c>
      <c r="I183" s="508" t="s">
        <v>695</v>
      </c>
      <c r="J183" s="508" t="s">
        <v>696</v>
      </c>
      <c r="K183" s="508" t="s">
        <v>697</v>
      </c>
      <c r="L183" s="508" t="s">
        <v>698</v>
      </c>
      <c r="M183" s="508" t="s">
        <v>699</v>
      </c>
      <c r="N183" s="508" t="s">
        <v>700</v>
      </c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5.75" customHeight="1">
      <c r="A184" s="39" t="s">
        <v>701</v>
      </c>
      <c r="B184" s="40" t="s">
        <v>789</v>
      </c>
      <c r="C184" s="307"/>
      <c r="D184" s="307"/>
      <c r="E184" s="307"/>
      <c r="F184" s="307"/>
      <c r="G184" s="307"/>
      <c r="H184" s="307"/>
      <c r="I184" s="307"/>
      <c r="J184" s="307"/>
      <c r="K184" s="307"/>
      <c r="L184" s="307"/>
      <c r="M184" s="307"/>
      <c r="N184" s="307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5.75" customHeight="1">
      <c r="A185" s="44"/>
      <c r="B185" s="45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5.75" customHeight="1">
      <c r="A186" s="44"/>
      <c r="B186" s="45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5.75" customHeight="1">
      <c r="A187" s="44"/>
      <c r="B187" s="45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5.75" customHeight="1">
      <c r="A188" s="44"/>
      <c r="B188" s="45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5.75" customHeight="1">
      <c r="A189" s="44"/>
      <c r="B189" s="45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5.75" customHeight="1">
      <c r="A190" s="44"/>
      <c r="B190" s="45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5.75" customHeight="1">
      <c r="A191" s="44"/>
      <c r="B191" s="45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5.75" customHeight="1">
      <c r="A192" s="50"/>
      <c r="B192" s="51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52"/>
      <c r="N192" s="52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5.75" customHeight="1">
      <c r="A193" s="511" t="s">
        <v>721</v>
      </c>
      <c r="B193" s="286"/>
      <c r="C193" s="54">
        <f t="shared" ref="C193:N193" si="13">SUM(C185:C192)</f>
        <v>0</v>
      </c>
      <c r="D193" s="55">
        <f t="shared" si="13"/>
        <v>0</v>
      </c>
      <c r="E193" s="55">
        <f t="shared" si="13"/>
        <v>0</v>
      </c>
      <c r="F193" s="55">
        <f t="shared" si="13"/>
        <v>0</v>
      </c>
      <c r="G193" s="55">
        <f t="shared" si="13"/>
        <v>0</v>
      </c>
      <c r="H193" s="55">
        <f t="shared" si="13"/>
        <v>0</v>
      </c>
      <c r="I193" s="55">
        <f t="shared" si="13"/>
        <v>0</v>
      </c>
      <c r="J193" s="55">
        <f t="shared" si="13"/>
        <v>0</v>
      </c>
      <c r="K193" s="55">
        <f t="shared" si="13"/>
        <v>0</v>
      </c>
      <c r="L193" s="55">
        <f t="shared" si="13"/>
        <v>0</v>
      </c>
      <c r="M193" s="55">
        <f t="shared" si="13"/>
        <v>0</v>
      </c>
      <c r="N193" s="67">
        <f t="shared" si="13"/>
        <v>0</v>
      </c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5.75" customHeight="1">
      <c r="A194" s="512" t="s">
        <v>724</v>
      </c>
      <c r="B194" s="286"/>
      <c r="C194" s="57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5.75" customHeight="1">
      <c r="A195" s="515" t="s">
        <v>172</v>
      </c>
      <c r="B195" s="286"/>
      <c r="C195" s="61">
        <f>SUM(C193:N193)</f>
        <v>0</v>
      </c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5.75" customHeight="1">
      <c r="A196" s="34"/>
      <c r="B196" s="35"/>
      <c r="C196" s="508" t="s">
        <v>689</v>
      </c>
      <c r="D196" s="508" t="s">
        <v>690</v>
      </c>
      <c r="E196" s="508" t="s">
        <v>691</v>
      </c>
      <c r="F196" s="508" t="s">
        <v>692</v>
      </c>
      <c r="G196" s="508" t="s">
        <v>693</v>
      </c>
      <c r="H196" s="508" t="s">
        <v>694</v>
      </c>
      <c r="I196" s="508" t="s">
        <v>695</v>
      </c>
      <c r="J196" s="508" t="s">
        <v>696</v>
      </c>
      <c r="K196" s="508" t="s">
        <v>697</v>
      </c>
      <c r="L196" s="508" t="s">
        <v>698</v>
      </c>
      <c r="M196" s="508" t="s">
        <v>699</v>
      </c>
      <c r="N196" s="508" t="s">
        <v>700</v>
      </c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5.75" customHeight="1">
      <c r="A197" s="39" t="s">
        <v>701</v>
      </c>
      <c r="B197" s="40" t="s">
        <v>789</v>
      </c>
      <c r="C197" s="307"/>
      <c r="D197" s="307"/>
      <c r="E197" s="307"/>
      <c r="F197" s="307"/>
      <c r="G197" s="307"/>
      <c r="H197" s="307"/>
      <c r="I197" s="307"/>
      <c r="J197" s="307"/>
      <c r="K197" s="307"/>
      <c r="L197" s="307"/>
      <c r="M197" s="307"/>
      <c r="N197" s="307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5.75" customHeight="1">
      <c r="A198" s="44"/>
      <c r="B198" s="45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5.75" customHeight="1">
      <c r="A199" s="44"/>
      <c r="B199" s="45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5.75" customHeight="1">
      <c r="A200" s="44"/>
      <c r="B200" s="45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5.75" customHeight="1">
      <c r="A201" s="44"/>
      <c r="B201" s="45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5.75" customHeight="1">
      <c r="A202" s="44"/>
      <c r="B202" s="45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5.75" customHeight="1">
      <c r="A203" s="44"/>
      <c r="B203" s="45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5.75" customHeight="1">
      <c r="A204" s="44"/>
      <c r="B204" s="45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5.75" customHeight="1">
      <c r="A205" s="50"/>
      <c r="B205" s="51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5.75" customHeight="1">
      <c r="A206" s="511" t="s">
        <v>721</v>
      </c>
      <c r="B206" s="286"/>
      <c r="C206" s="54">
        <f t="shared" ref="C206:N206" si="14">SUM(C198:C205)</f>
        <v>0</v>
      </c>
      <c r="D206" s="55">
        <f t="shared" si="14"/>
        <v>0</v>
      </c>
      <c r="E206" s="55">
        <f t="shared" si="14"/>
        <v>0</v>
      </c>
      <c r="F206" s="55">
        <f t="shared" si="14"/>
        <v>0</v>
      </c>
      <c r="G206" s="55">
        <f t="shared" si="14"/>
        <v>0</v>
      </c>
      <c r="H206" s="55">
        <f t="shared" si="14"/>
        <v>0</v>
      </c>
      <c r="I206" s="55">
        <f t="shared" si="14"/>
        <v>0</v>
      </c>
      <c r="J206" s="55">
        <f t="shared" si="14"/>
        <v>0</v>
      </c>
      <c r="K206" s="55">
        <f t="shared" si="14"/>
        <v>0</v>
      </c>
      <c r="L206" s="55">
        <f t="shared" si="14"/>
        <v>0</v>
      </c>
      <c r="M206" s="55">
        <f t="shared" si="14"/>
        <v>0</v>
      </c>
      <c r="N206" s="67">
        <f t="shared" si="14"/>
        <v>0</v>
      </c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5.75" customHeight="1">
      <c r="A207" s="512" t="s">
        <v>724</v>
      </c>
      <c r="B207" s="286"/>
      <c r="C207" s="57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5.75" customHeight="1">
      <c r="A208" s="515" t="s">
        <v>172</v>
      </c>
      <c r="B208" s="286"/>
      <c r="C208" s="61">
        <f>SUM(C206:N206)</f>
        <v>0</v>
      </c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5.75" customHeight="1">
      <c r="A209" s="34"/>
      <c r="B209" s="35"/>
      <c r="C209" s="508" t="s">
        <v>689</v>
      </c>
      <c r="D209" s="508" t="s">
        <v>690</v>
      </c>
      <c r="E209" s="508" t="s">
        <v>691</v>
      </c>
      <c r="F209" s="508" t="s">
        <v>692</v>
      </c>
      <c r="G209" s="508" t="s">
        <v>693</v>
      </c>
      <c r="H209" s="508" t="s">
        <v>694</v>
      </c>
      <c r="I209" s="508" t="s">
        <v>695</v>
      </c>
      <c r="J209" s="508" t="s">
        <v>696</v>
      </c>
      <c r="K209" s="508" t="s">
        <v>697</v>
      </c>
      <c r="L209" s="508" t="s">
        <v>698</v>
      </c>
      <c r="M209" s="508" t="s">
        <v>699</v>
      </c>
      <c r="N209" s="508" t="s">
        <v>700</v>
      </c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5.75" customHeight="1">
      <c r="A210" s="39" t="s">
        <v>701</v>
      </c>
      <c r="B210" s="40" t="s">
        <v>789</v>
      </c>
      <c r="C210" s="307"/>
      <c r="D210" s="307"/>
      <c r="E210" s="307"/>
      <c r="F210" s="307"/>
      <c r="G210" s="307"/>
      <c r="H210" s="307"/>
      <c r="I210" s="307"/>
      <c r="J210" s="307"/>
      <c r="K210" s="307"/>
      <c r="L210" s="307"/>
      <c r="M210" s="307"/>
      <c r="N210" s="307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5.75" customHeight="1">
      <c r="A211" s="44"/>
      <c r="B211" s="45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5.75" customHeight="1">
      <c r="A212" s="44"/>
      <c r="B212" s="45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5.75" customHeight="1">
      <c r="A213" s="44"/>
      <c r="B213" s="45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5.75" customHeight="1">
      <c r="A214" s="44"/>
      <c r="B214" s="45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5.75" customHeight="1">
      <c r="A215" s="44"/>
      <c r="B215" s="45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5.75" customHeight="1">
      <c r="A216" s="44"/>
      <c r="B216" s="45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5.75" customHeight="1">
      <c r="A217" s="44"/>
      <c r="B217" s="45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5.75" customHeight="1">
      <c r="A218" s="50"/>
      <c r="B218" s="51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52"/>
      <c r="N218" s="52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5.75" customHeight="1">
      <c r="A219" s="511" t="s">
        <v>721</v>
      </c>
      <c r="B219" s="286"/>
      <c r="C219" s="54">
        <f t="shared" ref="C219:N219" si="15">SUM(C211:C218)</f>
        <v>0</v>
      </c>
      <c r="D219" s="55">
        <f t="shared" si="15"/>
        <v>0</v>
      </c>
      <c r="E219" s="55">
        <f t="shared" si="15"/>
        <v>0</v>
      </c>
      <c r="F219" s="55">
        <f t="shared" si="15"/>
        <v>0</v>
      </c>
      <c r="G219" s="55">
        <f t="shared" si="15"/>
        <v>0</v>
      </c>
      <c r="H219" s="55">
        <f t="shared" si="15"/>
        <v>0</v>
      </c>
      <c r="I219" s="55">
        <f t="shared" si="15"/>
        <v>0</v>
      </c>
      <c r="J219" s="55">
        <f t="shared" si="15"/>
        <v>0</v>
      </c>
      <c r="K219" s="55">
        <f t="shared" si="15"/>
        <v>0</v>
      </c>
      <c r="L219" s="55">
        <f t="shared" si="15"/>
        <v>0</v>
      </c>
      <c r="M219" s="55">
        <f t="shared" si="15"/>
        <v>0</v>
      </c>
      <c r="N219" s="67">
        <f t="shared" si="15"/>
        <v>0</v>
      </c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5.75" customHeight="1">
      <c r="A220" s="512" t="s">
        <v>724</v>
      </c>
      <c r="B220" s="286"/>
      <c r="C220" s="57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5.75" customHeight="1">
      <c r="A221" s="515" t="s">
        <v>172</v>
      </c>
      <c r="B221" s="286"/>
      <c r="C221" s="61">
        <f>SUM(C219:N219)</f>
        <v>0</v>
      </c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5.75" customHeight="1">
      <c r="A222" s="34"/>
      <c r="B222" s="35"/>
      <c r="C222" s="508" t="s">
        <v>689</v>
      </c>
      <c r="D222" s="508" t="s">
        <v>690</v>
      </c>
      <c r="E222" s="508" t="s">
        <v>691</v>
      </c>
      <c r="F222" s="508" t="s">
        <v>692</v>
      </c>
      <c r="G222" s="508" t="s">
        <v>693</v>
      </c>
      <c r="H222" s="508" t="s">
        <v>694</v>
      </c>
      <c r="I222" s="508" t="s">
        <v>695</v>
      </c>
      <c r="J222" s="508" t="s">
        <v>696</v>
      </c>
      <c r="K222" s="508" t="s">
        <v>697</v>
      </c>
      <c r="L222" s="508" t="s">
        <v>698</v>
      </c>
      <c r="M222" s="508" t="s">
        <v>699</v>
      </c>
      <c r="N222" s="508" t="s">
        <v>700</v>
      </c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5.75" customHeight="1">
      <c r="A223" s="39" t="s">
        <v>701</v>
      </c>
      <c r="B223" s="40" t="s">
        <v>789</v>
      </c>
      <c r="C223" s="307"/>
      <c r="D223" s="307"/>
      <c r="E223" s="307"/>
      <c r="F223" s="307"/>
      <c r="G223" s="307"/>
      <c r="H223" s="307"/>
      <c r="I223" s="307"/>
      <c r="J223" s="307"/>
      <c r="K223" s="307"/>
      <c r="L223" s="307"/>
      <c r="M223" s="307"/>
      <c r="N223" s="307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5.75" customHeight="1">
      <c r="A224" s="44"/>
      <c r="B224" s="45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5.75" customHeight="1">
      <c r="A225" s="44"/>
      <c r="B225" s="45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5.75" customHeight="1">
      <c r="A226" s="44"/>
      <c r="B226" s="45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5.75" customHeight="1">
      <c r="A227" s="44"/>
      <c r="B227" s="45"/>
      <c r="C227" s="48"/>
      <c r="D227" s="48"/>
      <c r="E227" s="48"/>
      <c r="F227" s="48"/>
      <c r="G227" s="48"/>
      <c r="H227" s="48"/>
      <c r="I227" s="48"/>
      <c r="J227" s="48"/>
      <c r="K227" s="48"/>
      <c r="L227" s="48"/>
      <c r="M227" s="48"/>
      <c r="N227" s="48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5.75" customHeight="1">
      <c r="A228" s="44"/>
      <c r="B228" s="45"/>
      <c r="C228" s="48"/>
      <c r="D228" s="48"/>
      <c r="E228" s="48"/>
      <c r="F228" s="48"/>
      <c r="G228" s="48"/>
      <c r="H228" s="48"/>
      <c r="I228" s="48"/>
      <c r="J228" s="48"/>
      <c r="K228" s="48"/>
      <c r="L228" s="48"/>
      <c r="M228" s="48"/>
      <c r="N228" s="48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5.75" customHeight="1">
      <c r="A229" s="44"/>
      <c r="B229" s="45"/>
      <c r="C229" s="48"/>
      <c r="D229" s="48"/>
      <c r="E229" s="48"/>
      <c r="F229" s="48"/>
      <c r="G229" s="48"/>
      <c r="H229" s="48"/>
      <c r="I229" s="48"/>
      <c r="J229" s="48"/>
      <c r="K229" s="48"/>
      <c r="L229" s="48"/>
      <c r="M229" s="48"/>
      <c r="N229" s="48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5.75" customHeight="1">
      <c r="A230" s="44"/>
      <c r="B230" s="45"/>
      <c r="C230" s="48"/>
      <c r="D230" s="48"/>
      <c r="E230" s="48"/>
      <c r="F230" s="48"/>
      <c r="G230" s="48"/>
      <c r="H230" s="48"/>
      <c r="I230" s="48"/>
      <c r="J230" s="48"/>
      <c r="K230" s="48"/>
      <c r="L230" s="48"/>
      <c r="M230" s="48"/>
      <c r="N230" s="48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5.75" customHeight="1">
      <c r="A231" s="50"/>
      <c r="B231" s="51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52"/>
      <c r="N231" s="52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5.75" customHeight="1">
      <c r="A232" s="511" t="s">
        <v>721</v>
      </c>
      <c r="B232" s="286"/>
      <c r="C232" s="54">
        <f t="shared" ref="C232:N232" si="16">SUM(C224:C231)</f>
        <v>0</v>
      </c>
      <c r="D232" s="55">
        <f t="shared" si="16"/>
        <v>0</v>
      </c>
      <c r="E232" s="55">
        <f t="shared" si="16"/>
        <v>0</v>
      </c>
      <c r="F232" s="55">
        <f t="shared" si="16"/>
        <v>0</v>
      </c>
      <c r="G232" s="55">
        <f t="shared" si="16"/>
        <v>0</v>
      </c>
      <c r="H232" s="55">
        <f t="shared" si="16"/>
        <v>0</v>
      </c>
      <c r="I232" s="55">
        <f t="shared" si="16"/>
        <v>0</v>
      </c>
      <c r="J232" s="55">
        <f t="shared" si="16"/>
        <v>0</v>
      </c>
      <c r="K232" s="55">
        <f t="shared" si="16"/>
        <v>0</v>
      </c>
      <c r="L232" s="55">
        <f t="shared" si="16"/>
        <v>0</v>
      </c>
      <c r="M232" s="55">
        <f t="shared" si="16"/>
        <v>0</v>
      </c>
      <c r="N232" s="67">
        <f t="shared" si="16"/>
        <v>0</v>
      </c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5.75" customHeight="1">
      <c r="A233" s="512" t="s">
        <v>724</v>
      </c>
      <c r="B233" s="286"/>
      <c r="C233" s="57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5.75" customHeight="1">
      <c r="A234" s="515" t="s">
        <v>172</v>
      </c>
      <c r="B234" s="286"/>
      <c r="C234" s="61">
        <f>SUM(C232:N232)</f>
        <v>0</v>
      </c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5.75" customHeight="1">
      <c r="A235" s="34"/>
      <c r="B235" s="35"/>
      <c r="C235" s="508" t="s">
        <v>689</v>
      </c>
      <c r="D235" s="508" t="s">
        <v>690</v>
      </c>
      <c r="E235" s="508" t="s">
        <v>691</v>
      </c>
      <c r="F235" s="508" t="s">
        <v>692</v>
      </c>
      <c r="G235" s="508" t="s">
        <v>693</v>
      </c>
      <c r="H235" s="508" t="s">
        <v>694</v>
      </c>
      <c r="I235" s="508" t="s">
        <v>695</v>
      </c>
      <c r="J235" s="508" t="s">
        <v>696</v>
      </c>
      <c r="K235" s="508" t="s">
        <v>697</v>
      </c>
      <c r="L235" s="508" t="s">
        <v>698</v>
      </c>
      <c r="M235" s="508" t="s">
        <v>699</v>
      </c>
      <c r="N235" s="508" t="s">
        <v>700</v>
      </c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5.75" customHeight="1">
      <c r="A236" s="39" t="s">
        <v>701</v>
      </c>
      <c r="B236" s="40" t="s">
        <v>789</v>
      </c>
      <c r="C236" s="307"/>
      <c r="D236" s="307"/>
      <c r="E236" s="307"/>
      <c r="F236" s="307"/>
      <c r="G236" s="307"/>
      <c r="H236" s="307"/>
      <c r="I236" s="307"/>
      <c r="J236" s="307"/>
      <c r="K236" s="307"/>
      <c r="L236" s="307"/>
      <c r="M236" s="307"/>
      <c r="N236" s="307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5.75" customHeight="1">
      <c r="A237" s="44"/>
      <c r="B237" s="45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5.75" customHeight="1">
      <c r="A238" s="44"/>
      <c r="B238" s="45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5.75" customHeight="1">
      <c r="A239" s="44"/>
      <c r="B239" s="45"/>
      <c r="C239" s="48"/>
      <c r="D239" s="48"/>
      <c r="E239" s="48"/>
      <c r="F239" s="48"/>
      <c r="G239" s="48"/>
      <c r="H239" s="48"/>
      <c r="I239" s="48"/>
      <c r="J239" s="48"/>
      <c r="K239" s="48"/>
      <c r="L239" s="48"/>
      <c r="M239" s="48"/>
      <c r="N239" s="48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5.75" customHeight="1">
      <c r="A240" s="44"/>
      <c r="B240" s="45"/>
      <c r="C240" s="48"/>
      <c r="D240" s="48"/>
      <c r="E240" s="48"/>
      <c r="F240" s="48"/>
      <c r="G240" s="48"/>
      <c r="H240" s="48"/>
      <c r="I240" s="48"/>
      <c r="J240" s="48"/>
      <c r="K240" s="48"/>
      <c r="L240" s="48"/>
      <c r="M240" s="48"/>
      <c r="N240" s="48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5.75" customHeight="1">
      <c r="A241" s="44"/>
      <c r="B241" s="45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5.75" customHeight="1">
      <c r="A242" s="44"/>
      <c r="B242" s="45"/>
      <c r="C242" s="48"/>
      <c r="D242" s="48"/>
      <c r="E242" s="48"/>
      <c r="F242" s="48"/>
      <c r="G242" s="48"/>
      <c r="H242" s="48"/>
      <c r="I242" s="48"/>
      <c r="J242" s="48"/>
      <c r="K242" s="48"/>
      <c r="L242" s="48"/>
      <c r="M242" s="48"/>
      <c r="N242" s="48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5.75" customHeight="1">
      <c r="A243" s="44"/>
      <c r="B243" s="45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5.75" customHeight="1">
      <c r="A244" s="50"/>
      <c r="B244" s="51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5.75" customHeight="1">
      <c r="A245" s="511" t="s">
        <v>721</v>
      </c>
      <c r="B245" s="286"/>
      <c r="C245" s="54">
        <f t="shared" ref="C245:N245" si="17">SUM(C237:C244)</f>
        <v>0</v>
      </c>
      <c r="D245" s="55">
        <f t="shared" si="17"/>
        <v>0</v>
      </c>
      <c r="E245" s="55">
        <f t="shared" si="17"/>
        <v>0</v>
      </c>
      <c r="F245" s="55">
        <f t="shared" si="17"/>
        <v>0</v>
      </c>
      <c r="G245" s="55">
        <f t="shared" si="17"/>
        <v>0</v>
      </c>
      <c r="H245" s="55">
        <f t="shared" si="17"/>
        <v>0</v>
      </c>
      <c r="I245" s="55">
        <f t="shared" si="17"/>
        <v>0</v>
      </c>
      <c r="J245" s="55">
        <f t="shared" si="17"/>
        <v>0</v>
      </c>
      <c r="K245" s="55">
        <f t="shared" si="17"/>
        <v>0</v>
      </c>
      <c r="L245" s="55">
        <f t="shared" si="17"/>
        <v>0</v>
      </c>
      <c r="M245" s="55">
        <f t="shared" si="17"/>
        <v>0</v>
      </c>
      <c r="N245" s="67">
        <f t="shared" si="17"/>
        <v>0</v>
      </c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5.75" customHeight="1">
      <c r="A246" s="512" t="s">
        <v>724</v>
      </c>
      <c r="B246" s="286"/>
      <c r="C246" s="57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5.75" customHeight="1">
      <c r="A247" s="515" t="s">
        <v>172</v>
      </c>
      <c r="B247" s="286"/>
      <c r="C247" s="61">
        <f>SUM(C245:N245)</f>
        <v>0</v>
      </c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5.75" customHeight="1">
      <c r="A248" s="34"/>
      <c r="B248" s="35"/>
      <c r="C248" s="508" t="s">
        <v>689</v>
      </c>
      <c r="D248" s="508" t="s">
        <v>690</v>
      </c>
      <c r="E248" s="508" t="s">
        <v>691</v>
      </c>
      <c r="F248" s="508" t="s">
        <v>692</v>
      </c>
      <c r="G248" s="508" t="s">
        <v>693</v>
      </c>
      <c r="H248" s="508" t="s">
        <v>694</v>
      </c>
      <c r="I248" s="508" t="s">
        <v>695</v>
      </c>
      <c r="J248" s="508" t="s">
        <v>696</v>
      </c>
      <c r="K248" s="508" t="s">
        <v>697</v>
      </c>
      <c r="L248" s="508" t="s">
        <v>698</v>
      </c>
      <c r="M248" s="508" t="s">
        <v>699</v>
      </c>
      <c r="N248" s="508" t="s">
        <v>700</v>
      </c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5.75" customHeight="1">
      <c r="A249" s="39" t="s">
        <v>701</v>
      </c>
      <c r="B249" s="40" t="s">
        <v>789</v>
      </c>
      <c r="C249" s="307"/>
      <c r="D249" s="307"/>
      <c r="E249" s="307"/>
      <c r="F249" s="307"/>
      <c r="G249" s="307"/>
      <c r="H249" s="307"/>
      <c r="I249" s="307"/>
      <c r="J249" s="307"/>
      <c r="K249" s="307"/>
      <c r="L249" s="307"/>
      <c r="M249" s="307"/>
      <c r="N249" s="307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5.75" customHeight="1">
      <c r="A250" s="44"/>
      <c r="B250" s="45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5.75" customHeight="1">
      <c r="A251" s="44"/>
      <c r="B251" s="45"/>
      <c r="C251" s="48"/>
      <c r="D251" s="48"/>
      <c r="E251" s="48"/>
      <c r="F251" s="48"/>
      <c r="G251" s="48"/>
      <c r="H251" s="48"/>
      <c r="I251" s="48"/>
      <c r="J251" s="48"/>
      <c r="K251" s="48"/>
      <c r="L251" s="48"/>
      <c r="M251" s="48"/>
      <c r="N251" s="48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5.75" customHeight="1">
      <c r="A252" s="44"/>
      <c r="B252" s="45"/>
      <c r="C252" s="48"/>
      <c r="D252" s="48"/>
      <c r="E252" s="48"/>
      <c r="F252" s="48"/>
      <c r="G252" s="48"/>
      <c r="H252" s="48"/>
      <c r="I252" s="48"/>
      <c r="J252" s="48"/>
      <c r="K252" s="48"/>
      <c r="L252" s="48"/>
      <c r="M252" s="48"/>
      <c r="N252" s="48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5.75" customHeight="1">
      <c r="A253" s="44"/>
      <c r="B253" s="45"/>
      <c r="C253" s="48"/>
      <c r="D253" s="48"/>
      <c r="E253" s="48"/>
      <c r="F253" s="48"/>
      <c r="G253" s="48"/>
      <c r="H253" s="48"/>
      <c r="I253" s="48"/>
      <c r="J253" s="48"/>
      <c r="K253" s="48"/>
      <c r="L253" s="48"/>
      <c r="M253" s="48"/>
      <c r="N253" s="48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5.75" customHeight="1">
      <c r="A254" s="44"/>
      <c r="B254" s="45"/>
      <c r="C254" s="48"/>
      <c r="D254" s="48"/>
      <c r="E254" s="48"/>
      <c r="F254" s="48"/>
      <c r="G254" s="48"/>
      <c r="H254" s="48"/>
      <c r="I254" s="48"/>
      <c r="J254" s="48"/>
      <c r="K254" s="48"/>
      <c r="L254" s="48"/>
      <c r="M254" s="48"/>
      <c r="N254" s="48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5.75" customHeight="1">
      <c r="A255" s="44"/>
      <c r="B255" s="45"/>
      <c r="C255" s="48"/>
      <c r="D255" s="48"/>
      <c r="E255" s="48"/>
      <c r="F255" s="48"/>
      <c r="G255" s="48"/>
      <c r="H255" s="48"/>
      <c r="I255" s="48"/>
      <c r="J255" s="48"/>
      <c r="K255" s="48"/>
      <c r="L255" s="48"/>
      <c r="M255" s="48"/>
      <c r="N255" s="48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5.75" customHeight="1">
      <c r="A256" s="44"/>
      <c r="B256" s="45"/>
      <c r="C256" s="48"/>
      <c r="D256" s="48"/>
      <c r="E256" s="48"/>
      <c r="F256" s="48"/>
      <c r="G256" s="48"/>
      <c r="H256" s="48"/>
      <c r="I256" s="48"/>
      <c r="J256" s="48"/>
      <c r="K256" s="48"/>
      <c r="L256" s="48"/>
      <c r="M256" s="48"/>
      <c r="N256" s="48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5.75" customHeight="1">
      <c r="A257" s="50"/>
      <c r="B257" s="51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52"/>
      <c r="N257" s="52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5.75" customHeight="1">
      <c r="A258" s="511" t="s">
        <v>721</v>
      </c>
      <c r="B258" s="286"/>
      <c r="C258" s="54">
        <f t="shared" ref="C258:N258" si="18">SUM(C250:C257)</f>
        <v>0</v>
      </c>
      <c r="D258" s="55">
        <f t="shared" si="18"/>
        <v>0</v>
      </c>
      <c r="E258" s="55">
        <f t="shared" si="18"/>
        <v>0</v>
      </c>
      <c r="F258" s="55">
        <f t="shared" si="18"/>
        <v>0</v>
      </c>
      <c r="G258" s="55">
        <f t="shared" si="18"/>
        <v>0</v>
      </c>
      <c r="H258" s="55">
        <f t="shared" si="18"/>
        <v>0</v>
      </c>
      <c r="I258" s="55">
        <f t="shared" si="18"/>
        <v>0</v>
      </c>
      <c r="J258" s="55">
        <f t="shared" si="18"/>
        <v>0</v>
      </c>
      <c r="K258" s="55">
        <f t="shared" si="18"/>
        <v>0</v>
      </c>
      <c r="L258" s="55">
        <f t="shared" si="18"/>
        <v>0</v>
      </c>
      <c r="M258" s="55">
        <f t="shared" si="18"/>
        <v>0</v>
      </c>
      <c r="N258" s="67">
        <f t="shared" si="18"/>
        <v>0</v>
      </c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5.75" customHeight="1">
      <c r="A259" s="512" t="s">
        <v>724</v>
      </c>
      <c r="B259" s="286"/>
      <c r="C259" s="57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5.75" customHeight="1">
      <c r="A260" s="515" t="s">
        <v>172</v>
      </c>
      <c r="B260" s="286"/>
      <c r="C260" s="61">
        <f>SUM(C258:N258)</f>
        <v>0</v>
      </c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5.75" customHeight="1">
      <c r="A261" s="34"/>
      <c r="B261" s="35"/>
      <c r="C261" s="508" t="s">
        <v>689</v>
      </c>
      <c r="D261" s="508" t="s">
        <v>690</v>
      </c>
      <c r="E261" s="508" t="s">
        <v>691</v>
      </c>
      <c r="F261" s="508" t="s">
        <v>692</v>
      </c>
      <c r="G261" s="508" t="s">
        <v>693</v>
      </c>
      <c r="H261" s="508" t="s">
        <v>694</v>
      </c>
      <c r="I261" s="508" t="s">
        <v>695</v>
      </c>
      <c r="J261" s="508" t="s">
        <v>696</v>
      </c>
      <c r="K261" s="508" t="s">
        <v>697</v>
      </c>
      <c r="L261" s="508" t="s">
        <v>698</v>
      </c>
      <c r="M261" s="508" t="s">
        <v>699</v>
      </c>
      <c r="N261" s="508" t="s">
        <v>700</v>
      </c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5.75" customHeight="1">
      <c r="A262" s="39" t="s">
        <v>701</v>
      </c>
      <c r="B262" s="40" t="s">
        <v>789</v>
      </c>
      <c r="C262" s="307"/>
      <c r="D262" s="307"/>
      <c r="E262" s="307"/>
      <c r="F262" s="307"/>
      <c r="G262" s="307"/>
      <c r="H262" s="307"/>
      <c r="I262" s="307"/>
      <c r="J262" s="307"/>
      <c r="K262" s="307"/>
      <c r="L262" s="307"/>
      <c r="M262" s="307"/>
      <c r="N262" s="307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5.75" customHeight="1">
      <c r="A263" s="44"/>
      <c r="B263" s="45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5.75" customHeight="1">
      <c r="A264" s="44"/>
      <c r="B264" s="45"/>
      <c r="C264" s="48"/>
      <c r="D264" s="48"/>
      <c r="E264" s="48"/>
      <c r="F264" s="48"/>
      <c r="G264" s="48"/>
      <c r="H264" s="48"/>
      <c r="I264" s="48"/>
      <c r="J264" s="48"/>
      <c r="K264" s="48"/>
      <c r="L264" s="48"/>
      <c r="M264" s="48"/>
      <c r="N264" s="48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5.75" customHeight="1">
      <c r="A265" s="44"/>
      <c r="B265" s="45"/>
      <c r="C265" s="48"/>
      <c r="D265" s="48"/>
      <c r="E265" s="48"/>
      <c r="F265" s="48"/>
      <c r="G265" s="48"/>
      <c r="H265" s="48"/>
      <c r="I265" s="48"/>
      <c r="J265" s="48"/>
      <c r="K265" s="48"/>
      <c r="L265" s="48"/>
      <c r="M265" s="48"/>
      <c r="N265" s="48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5.75" customHeight="1">
      <c r="A266" s="44"/>
      <c r="B266" s="45"/>
      <c r="C266" s="48"/>
      <c r="D266" s="48"/>
      <c r="E266" s="48"/>
      <c r="F266" s="48"/>
      <c r="G266" s="48"/>
      <c r="H266" s="48"/>
      <c r="I266" s="48"/>
      <c r="J266" s="48"/>
      <c r="K266" s="48"/>
      <c r="L266" s="48"/>
      <c r="M266" s="48"/>
      <c r="N266" s="48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5.75" customHeight="1">
      <c r="A267" s="44"/>
      <c r="B267" s="45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5.75" customHeight="1">
      <c r="A268" s="44"/>
      <c r="B268" s="45"/>
      <c r="C268" s="48"/>
      <c r="D268" s="48"/>
      <c r="E268" s="48"/>
      <c r="F268" s="48"/>
      <c r="G268" s="48"/>
      <c r="H268" s="48"/>
      <c r="I268" s="48"/>
      <c r="J268" s="48"/>
      <c r="K268" s="48"/>
      <c r="L268" s="48"/>
      <c r="M268" s="48"/>
      <c r="N268" s="48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5.75" customHeight="1">
      <c r="A269" s="44"/>
      <c r="B269" s="45"/>
      <c r="C269" s="48"/>
      <c r="D269" s="48"/>
      <c r="E269" s="48"/>
      <c r="F269" s="48"/>
      <c r="G269" s="48"/>
      <c r="H269" s="48"/>
      <c r="I269" s="48"/>
      <c r="J269" s="48"/>
      <c r="K269" s="48"/>
      <c r="L269" s="48"/>
      <c r="M269" s="48"/>
      <c r="N269" s="48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5.75" customHeight="1">
      <c r="A270" s="50"/>
      <c r="B270" s="51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52"/>
      <c r="N270" s="52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5.75" customHeight="1">
      <c r="A271" s="511" t="s">
        <v>721</v>
      </c>
      <c r="B271" s="286"/>
      <c r="C271" s="54">
        <f t="shared" ref="C271:N271" si="19">SUM(C263:C270)</f>
        <v>0</v>
      </c>
      <c r="D271" s="55">
        <f t="shared" si="19"/>
        <v>0</v>
      </c>
      <c r="E271" s="55">
        <f t="shared" si="19"/>
        <v>0</v>
      </c>
      <c r="F271" s="55">
        <f t="shared" si="19"/>
        <v>0</v>
      </c>
      <c r="G271" s="55">
        <f t="shared" si="19"/>
        <v>0</v>
      </c>
      <c r="H271" s="55">
        <f t="shared" si="19"/>
        <v>0</v>
      </c>
      <c r="I271" s="55">
        <f t="shared" si="19"/>
        <v>0</v>
      </c>
      <c r="J271" s="55">
        <f t="shared" si="19"/>
        <v>0</v>
      </c>
      <c r="K271" s="55">
        <f t="shared" si="19"/>
        <v>0</v>
      </c>
      <c r="L271" s="55">
        <f t="shared" si="19"/>
        <v>0</v>
      </c>
      <c r="M271" s="55">
        <f t="shared" si="19"/>
        <v>0</v>
      </c>
      <c r="N271" s="67">
        <f t="shared" si="19"/>
        <v>0</v>
      </c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5.75" customHeight="1">
      <c r="A272" s="512" t="s">
        <v>724</v>
      </c>
      <c r="B272" s="286"/>
      <c r="C272" s="57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5.75" customHeight="1">
      <c r="A273" s="515" t="s">
        <v>172</v>
      </c>
      <c r="B273" s="286"/>
      <c r="C273" s="61">
        <f>SUM(C271:N271)</f>
        <v>0</v>
      </c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5.75" customHeight="1">
      <c r="A274" s="34"/>
      <c r="B274" s="35"/>
      <c r="C274" s="508" t="s">
        <v>689</v>
      </c>
      <c r="D274" s="508" t="s">
        <v>690</v>
      </c>
      <c r="E274" s="508" t="s">
        <v>691</v>
      </c>
      <c r="F274" s="508" t="s">
        <v>692</v>
      </c>
      <c r="G274" s="508" t="s">
        <v>693</v>
      </c>
      <c r="H274" s="508" t="s">
        <v>694</v>
      </c>
      <c r="I274" s="508" t="s">
        <v>695</v>
      </c>
      <c r="J274" s="508" t="s">
        <v>696</v>
      </c>
      <c r="K274" s="508" t="s">
        <v>697</v>
      </c>
      <c r="L274" s="508" t="s">
        <v>698</v>
      </c>
      <c r="M274" s="508" t="s">
        <v>699</v>
      </c>
      <c r="N274" s="508" t="s">
        <v>700</v>
      </c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5.75" customHeight="1">
      <c r="A275" s="39" t="s">
        <v>701</v>
      </c>
      <c r="B275" s="40" t="s">
        <v>789</v>
      </c>
      <c r="C275" s="307"/>
      <c r="D275" s="307"/>
      <c r="E275" s="307"/>
      <c r="F275" s="307"/>
      <c r="G275" s="307"/>
      <c r="H275" s="307"/>
      <c r="I275" s="307"/>
      <c r="J275" s="307"/>
      <c r="K275" s="307"/>
      <c r="L275" s="307"/>
      <c r="M275" s="307"/>
      <c r="N275" s="307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5.75" customHeight="1">
      <c r="A276" s="44"/>
      <c r="B276" s="45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5.75" customHeight="1">
      <c r="A277" s="44"/>
      <c r="B277" s="45"/>
      <c r="C277" s="48"/>
      <c r="D277" s="48"/>
      <c r="E277" s="48"/>
      <c r="F277" s="48"/>
      <c r="G277" s="48"/>
      <c r="H277" s="48"/>
      <c r="I277" s="48"/>
      <c r="J277" s="48"/>
      <c r="K277" s="48"/>
      <c r="L277" s="48"/>
      <c r="M277" s="48"/>
      <c r="N277" s="48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5.75" customHeight="1">
      <c r="A278" s="44"/>
      <c r="B278" s="45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5.75" customHeight="1">
      <c r="A279" s="44"/>
      <c r="B279" s="45"/>
      <c r="C279" s="48"/>
      <c r="D279" s="48"/>
      <c r="E279" s="48"/>
      <c r="F279" s="48"/>
      <c r="G279" s="48"/>
      <c r="H279" s="48"/>
      <c r="I279" s="48"/>
      <c r="J279" s="48"/>
      <c r="K279" s="48"/>
      <c r="L279" s="48"/>
      <c r="M279" s="48"/>
      <c r="N279" s="48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5.75" customHeight="1">
      <c r="A280" s="44"/>
      <c r="B280" s="45"/>
      <c r="C280" s="48"/>
      <c r="D280" s="48"/>
      <c r="E280" s="48"/>
      <c r="F280" s="48"/>
      <c r="G280" s="48"/>
      <c r="H280" s="48"/>
      <c r="I280" s="48"/>
      <c r="J280" s="48"/>
      <c r="K280" s="48"/>
      <c r="L280" s="48"/>
      <c r="M280" s="48"/>
      <c r="N280" s="48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5.75" customHeight="1">
      <c r="A281" s="44"/>
      <c r="B281" s="45"/>
      <c r="C281" s="48"/>
      <c r="D281" s="48"/>
      <c r="E281" s="48"/>
      <c r="F281" s="48"/>
      <c r="G281" s="48"/>
      <c r="H281" s="48"/>
      <c r="I281" s="48"/>
      <c r="J281" s="48"/>
      <c r="K281" s="48"/>
      <c r="L281" s="48"/>
      <c r="M281" s="48"/>
      <c r="N281" s="48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5.75" customHeight="1">
      <c r="A282" s="44"/>
      <c r="B282" s="45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5.75" customHeight="1">
      <c r="A283" s="50"/>
      <c r="B283" s="51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52"/>
      <c r="N283" s="52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5.75" customHeight="1">
      <c r="A284" s="511" t="s">
        <v>721</v>
      </c>
      <c r="B284" s="286"/>
      <c r="C284" s="54">
        <f t="shared" ref="C284:N284" si="20">SUM(C276:C283)</f>
        <v>0</v>
      </c>
      <c r="D284" s="55">
        <f t="shared" si="20"/>
        <v>0</v>
      </c>
      <c r="E284" s="55">
        <f t="shared" si="20"/>
        <v>0</v>
      </c>
      <c r="F284" s="55">
        <f t="shared" si="20"/>
        <v>0</v>
      </c>
      <c r="G284" s="55">
        <f t="shared" si="20"/>
        <v>0</v>
      </c>
      <c r="H284" s="55">
        <f t="shared" si="20"/>
        <v>0</v>
      </c>
      <c r="I284" s="55">
        <f t="shared" si="20"/>
        <v>0</v>
      </c>
      <c r="J284" s="55">
        <f t="shared" si="20"/>
        <v>0</v>
      </c>
      <c r="K284" s="55">
        <f t="shared" si="20"/>
        <v>0</v>
      </c>
      <c r="L284" s="55">
        <f t="shared" si="20"/>
        <v>0</v>
      </c>
      <c r="M284" s="55">
        <f t="shared" si="20"/>
        <v>0</v>
      </c>
      <c r="N284" s="67">
        <f t="shared" si="20"/>
        <v>0</v>
      </c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5.75" customHeight="1">
      <c r="A285" s="512" t="s">
        <v>724</v>
      </c>
      <c r="B285" s="286"/>
      <c r="C285" s="57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5.75" customHeight="1">
      <c r="A286" s="515" t="s">
        <v>172</v>
      </c>
      <c r="B286" s="286"/>
      <c r="C286" s="61">
        <f>SUM(C284:N284)</f>
        <v>0</v>
      </c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5.7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5.7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5.7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5.7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5.7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5.7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5.7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5.7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5.7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5.7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5.7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5.7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5.7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5.7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5.7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5.7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5.7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5.7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5.7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5.7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5.7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5.7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5.7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5.7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5.7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5.7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5.7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5.7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5.7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5.7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5.7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5.7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5.7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5.7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5.7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5.7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5.7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5.7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5.7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5.7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5.7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5.7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5.7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5.7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5.7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5.7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5.7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5.7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5.7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5.7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5.7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5.7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5.7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5.7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5.7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5.7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5.7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5.7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5.7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5.7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5.7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5.7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5.7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5.7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5.7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5.7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5.7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5.7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5.7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5.7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5.7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5.7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5.7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5.7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5.7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5.7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5.7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5.7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5.7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5.7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5.7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5.7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5.7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5.7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5.7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5.7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5.7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5.7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5.7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5.7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5.7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5.7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5.7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5.7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5.7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5.7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5.7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5.7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5.7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5.7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5.7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5.7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5.7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5.7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5.7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5.7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5.7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5.7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5.7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5.7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5.7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5.7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5.7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5.7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5.7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5.7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5.7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5.7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5.7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5.7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5.7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5.7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5.7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5.7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5.7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5.7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5.7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5.7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5.7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5.7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5.7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5.7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5.7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5.7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5.7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5.7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5.7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5.7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5.7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5.7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5.7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5.7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5.7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5.7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5.7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5.7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5.7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5.7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5.7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5.7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5.7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5.7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5.7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5.7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5.7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5.7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5.7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5.7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5.7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5.7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5.7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5.7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5.7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5.7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5.7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5.7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5.7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5.7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5.7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5.7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5.7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5.7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5.7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5.7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5.7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5.7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5.7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5.7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5.7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5.7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5.7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5.7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5.7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5.7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5.7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5.7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5.7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5.7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5.7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5.7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5.7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5.7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5.7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5.7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5.7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5.7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5.7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5.7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5.7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5.7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5.7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5.7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5.7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5.7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5.7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5.7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5.7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5.7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5.7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5.7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5.7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5.7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5.7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5.7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5.7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5.7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5.7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5.7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5.7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5.7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5.7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5.7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5.7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5.7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5.7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5.7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5.7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5.7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5.7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5.7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5.7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5.7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5.7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5.7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5.7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5.7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5.7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5.7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5.7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5.7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5.7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5.7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5.7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5.7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5.7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5.7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5.7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5.7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5.7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5.7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5.7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5.7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5.7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5.7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5.7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5.7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5.7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5.7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5.7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5.7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5.7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5.7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5.7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5.7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5.7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5.7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5.7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5.7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5.7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5.7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5.7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5.7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5.7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5.7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5.7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5.7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5.7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5.7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5.7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5.7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5.7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5.7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5.7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5.7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5.7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5.7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5.7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5.7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5.7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5.7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5.7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5.7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5.7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5.7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5.7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5.7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5.7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5.7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5.7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5.7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5.7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5.7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5.7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5.7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5.7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5.7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5.7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5.7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5.7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5.7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5.7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5.7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5.7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5.7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5.7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5.7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5.7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5.7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5.75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5.75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5.75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5.75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5.75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5.75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5.75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5.75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5.75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5.75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5.75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5.75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5.75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5.75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5.75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5.75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5.75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5.75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5.75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5.75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5.75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5.75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5.75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5.75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5.75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5.75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5.75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5.75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5.75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5.75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5.75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5.75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5.75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5.75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5.75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5.75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5.75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5.75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5.75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5.75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5.75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5.75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5.75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5.75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5.75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5.75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5.75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5.75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5.75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5.75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5.75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5.75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5.75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5.75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5.75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5.75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5.75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5.75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5.75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5.75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5.75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5.75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5.75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5.75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5.75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5.75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5.75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5.75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5.75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5.75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5.75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5.75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5.75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5.75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5.75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5.75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5.75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5.75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5.75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5.75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5.75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5.75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5.75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5.75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5.75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5.75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5.75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5.75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5.75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5.75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5.75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5.75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5.75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5.75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5.75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5.75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5.75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5.75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5.75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5.75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5.75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5.75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5.75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5.75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5.75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5.75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5.75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5.75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5.75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5.75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5.75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5.75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5.75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5.75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5.75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5.75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5.75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5.75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5.75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5.75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5.75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5.75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5.75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5.75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5.75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5.75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5.75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5.75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5.75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5.75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5.75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5.75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5.75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5.75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5.75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5.75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5.75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5.75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5.75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5.75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5.75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5.75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5.75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5.75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5.75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5.75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5.75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5.75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5.75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5.75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5.75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5.75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5.75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5.75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5.75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5.75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5.75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5.75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5.75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5.75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5.75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5.75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5.75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5.75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5.75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5.75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5.75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5.75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5.75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5.75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5.75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5.75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5.75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5.75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5.75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5.75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5.75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5.75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5.75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5.75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5.75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5.75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5.75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5.75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5.75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5.75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5.75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5.75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5.75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5.75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5.75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5.75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5.75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5.75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5.75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5.75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5.75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5.75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5.75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5.75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5.75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5.75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5.75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5.75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5.75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5.75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5.75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5.75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5.75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5.75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5.75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5.75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5.75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5.75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5.75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5.75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5.75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5.75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5.75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5.75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5.75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5.75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5.75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5.75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5.75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5.75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5.75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5.75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5.75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5.75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5.75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5.75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5.75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5.75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5.75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5.75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5.75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5.75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5.75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5.75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5.75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5.75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5.75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5.75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5.75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5.75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5.75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5.75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5.75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5.75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5.75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5.75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5.75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5.75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5.75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5.75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5.75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5.75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5.75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5.75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5.75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5.75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5.75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5.75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5.75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5.75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5.75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5.75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5.75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5.75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5.75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5.75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5.75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5.75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5.75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5.75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5.75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5.75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5.75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5.75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5.75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5.75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5.75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5.75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5.75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5.75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5.75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5.75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5.75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5.75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5.75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5.75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5.75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5.75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5.75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5.75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5.75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5.75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5.75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5.75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5.75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5.75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5.75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5.75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5.75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5.75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5.75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5.75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5.75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5.75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5.75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5.75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5.75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5.75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5.75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5.75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5.75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5.75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5.75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5.75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5.75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5.75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5.75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5.75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5.75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5.75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5.75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5.75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5.75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5.75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5.75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5.75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5.75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5.75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5.75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5.75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5.75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5.75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5.75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5.75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5.75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5.75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5.75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5.75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5.75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5.75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5.75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5.75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5.75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5.75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5.75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5.75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5.75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5.75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5.75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5.75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5.75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5.75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5.75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5.75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5.75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5.75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5.75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5.75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5.75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5.75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5.75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5.75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5.75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5.75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5.75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5.75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5.75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5.75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5.75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5.75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5.75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5.75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5.75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5.75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5.75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5.75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5.75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5.75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5.75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5.75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5.75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5.75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5.75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5.75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5.75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5.75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5.75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5.75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5.75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5.75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325">
    <mergeCell ref="G274:G275"/>
    <mergeCell ref="H274:H275"/>
    <mergeCell ref="I274:I275"/>
    <mergeCell ref="J274:J275"/>
    <mergeCell ref="K274:K275"/>
    <mergeCell ref="L274:L275"/>
    <mergeCell ref="M274:M275"/>
    <mergeCell ref="N274:N275"/>
    <mergeCell ref="A271:B271"/>
    <mergeCell ref="A272:B272"/>
    <mergeCell ref="A273:B273"/>
    <mergeCell ref="C274:C275"/>
    <mergeCell ref="D274:D275"/>
    <mergeCell ref="E274:E275"/>
    <mergeCell ref="F274:F275"/>
    <mergeCell ref="G261:G262"/>
    <mergeCell ref="H261:H262"/>
    <mergeCell ref="I261:I262"/>
    <mergeCell ref="J261:J262"/>
    <mergeCell ref="K261:K262"/>
    <mergeCell ref="L261:L262"/>
    <mergeCell ref="M261:M262"/>
    <mergeCell ref="N261:N262"/>
    <mergeCell ref="A258:B258"/>
    <mergeCell ref="A259:B259"/>
    <mergeCell ref="A260:B260"/>
    <mergeCell ref="C261:C262"/>
    <mergeCell ref="D261:D262"/>
    <mergeCell ref="E261:E262"/>
    <mergeCell ref="F261:F262"/>
    <mergeCell ref="K248:K249"/>
    <mergeCell ref="L248:L249"/>
    <mergeCell ref="M248:M249"/>
    <mergeCell ref="N248:N249"/>
    <mergeCell ref="A245:B245"/>
    <mergeCell ref="A246:B246"/>
    <mergeCell ref="A247:B247"/>
    <mergeCell ref="C248:C249"/>
    <mergeCell ref="D248:D249"/>
    <mergeCell ref="E248:E249"/>
    <mergeCell ref="F248:F249"/>
    <mergeCell ref="F183:F184"/>
    <mergeCell ref="H183:H184"/>
    <mergeCell ref="I183:I184"/>
    <mergeCell ref="J183:J184"/>
    <mergeCell ref="K183:K184"/>
    <mergeCell ref="L183:L184"/>
    <mergeCell ref="M235:M236"/>
    <mergeCell ref="N235:N236"/>
    <mergeCell ref="A232:B232"/>
    <mergeCell ref="A233:B233"/>
    <mergeCell ref="A234:B234"/>
    <mergeCell ref="C235:C236"/>
    <mergeCell ref="D235:D236"/>
    <mergeCell ref="E235:E236"/>
    <mergeCell ref="F235:F236"/>
    <mergeCell ref="G222:G223"/>
    <mergeCell ref="H222:H223"/>
    <mergeCell ref="I222:I223"/>
    <mergeCell ref="J222:J223"/>
    <mergeCell ref="K222:K223"/>
    <mergeCell ref="L222:L223"/>
    <mergeCell ref="M222:M223"/>
    <mergeCell ref="N222:N223"/>
    <mergeCell ref="A219:B219"/>
    <mergeCell ref="M170:M171"/>
    <mergeCell ref="A165:B165"/>
    <mergeCell ref="A166:B166"/>
    <mergeCell ref="A167:B167"/>
    <mergeCell ref="A168:N169"/>
    <mergeCell ref="C170:C171"/>
    <mergeCell ref="D170:D171"/>
    <mergeCell ref="E170:E171"/>
    <mergeCell ref="N170:N171"/>
    <mergeCell ref="F170:F171"/>
    <mergeCell ref="G170:G171"/>
    <mergeCell ref="M155:M156"/>
    <mergeCell ref="N155:N156"/>
    <mergeCell ref="A152:B152"/>
    <mergeCell ref="A153:B153"/>
    <mergeCell ref="A154:B154"/>
    <mergeCell ref="C155:C156"/>
    <mergeCell ref="D155:D156"/>
    <mergeCell ref="E155:E156"/>
    <mergeCell ref="F155:F156"/>
    <mergeCell ref="A284:B284"/>
    <mergeCell ref="A285:B285"/>
    <mergeCell ref="A286:B286"/>
    <mergeCell ref="G155:G156"/>
    <mergeCell ref="H155:H156"/>
    <mergeCell ref="I155:I156"/>
    <mergeCell ref="J155:J156"/>
    <mergeCell ref="K155:K156"/>
    <mergeCell ref="L155:L156"/>
    <mergeCell ref="H170:H171"/>
    <mergeCell ref="I170:I171"/>
    <mergeCell ref="J170:J171"/>
    <mergeCell ref="K170:K171"/>
    <mergeCell ref="L170:L171"/>
    <mergeCell ref="G235:G236"/>
    <mergeCell ref="H235:H236"/>
    <mergeCell ref="I235:I236"/>
    <mergeCell ref="J235:J236"/>
    <mergeCell ref="K235:K236"/>
    <mergeCell ref="L235:L236"/>
    <mergeCell ref="G248:G249"/>
    <mergeCell ref="H248:H249"/>
    <mergeCell ref="I248:I249"/>
    <mergeCell ref="J248:J249"/>
    <mergeCell ref="A220:B220"/>
    <mergeCell ref="A221:B221"/>
    <mergeCell ref="C222:C223"/>
    <mergeCell ref="D222:D223"/>
    <mergeCell ref="E222:E223"/>
    <mergeCell ref="F222:F223"/>
    <mergeCell ref="G209:G210"/>
    <mergeCell ref="H209:H210"/>
    <mergeCell ref="I209:I210"/>
    <mergeCell ref="J209:J210"/>
    <mergeCell ref="K209:K210"/>
    <mergeCell ref="L209:L210"/>
    <mergeCell ref="M209:M210"/>
    <mergeCell ref="N209:N210"/>
    <mergeCell ref="A206:B206"/>
    <mergeCell ref="A207:B207"/>
    <mergeCell ref="A208:B208"/>
    <mergeCell ref="C209:C210"/>
    <mergeCell ref="D209:D210"/>
    <mergeCell ref="E209:E210"/>
    <mergeCell ref="F209:F210"/>
    <mergeCell ref="A180:B180"/>
    <mergeCell ref="A181:B181"/>
    <mergeCell ref="C183:C184"/>
    <mergeCell ref="D183:D184"/>
    <mergeCell ref="G183:G184"/>
    <mergeCell ref="A182:B182"/>
    <mergeCell ref="A193:B193"/>
    <mergeCell ref="M196:M197"/>
    <mergeCell ref="N196:N197"/>
    <mergeCell ref="F196:F197"/>
    <mergeCell ref="G196:G197"/>
    <mergeCell ref="H196:H197"/>
    <mergeCell ref="I196:I197"/>
    <mergeCell ref="J196:J197"/>
    <mergeCell ref="K196:K197"/>
    <mergeCell ref="L196:L197"/>
    <mergeCell ref="A194:B194"/>
    <mergeCell ref="A195:B195"/>
    <mergeCell ref="C196:C197"/>
    <mergeCell ref="D196:D197"/>
    <mergeCell ref="E196:E197"/>
    <mergeCell ref="M183:M184"/>
    <mergeCell ref="N183:N184"/>
    <mergeCell ref="E183:E184"/>
    <mergeCell ref="G58:G59"/>
    <mergeCell ref="H58:H59"/>
    <mergeCell ref="I58:I59"/>
    <mergeCell ref="J58:J59"/>
    <mergeCell ref="K58:K59"/>
    <mergeCell ref="L58:L59"/>
    <mergeCell ref="M58:M59"/>
    <mergeCell ref="N58:N59"/>
    <mergeCell ref="A55:B55"/>
    <mergeCell ref="A56:B56"/>
    <mergeCell ref="A57:B57"/>
    <mergeCell ref="C58:C59"/>
    <mergeCell ref="D58:D59"/>
    <mergeCell ref="E58:E59"/>
    <mergeCell ref="F58:F59"/>
    <mergeCell ref="G45:G46"/>
    <mergeCell ref="H45:H46"/>
    <mergeCell ref="I45:I46"/>
    <mergeCell ref="J45:J46"/>
    <mergeCell ref="K45:K46"/>
    <mergeCell ref="L45:L46"/>
    <mergeCell ref="M45:M46"/>
    <mergeCell ref="N45:N46"/>
    <mergeCell ref="A42:B42"/>
    <mergeCell ref="A43:B43"/>
    <mergeCell ref="A44:B44"/>
    <mergeCell ref="C45:C46"/>
    <mergeCell ref="D45:D46"/>
    <mergeCell ref="E45:E46"/>
    <mergeCell ref="F45:F46"/>
    <mergeCell ref="C16:C17"/>
    <mergeCell ref="D16:D17"/>
    <mergeCell ref="G16:G17"/>
    <mergeCell ref="A15:B15"/>
    <mergeCell ref="A30:B30"/>
    <mergeCell ref="A31:B31"/>
    <mergeCell ref="A32:B32"/>
    <mergeCell ref="C33:C34"/>
    <mergeCell ref="D33:D34"/>
    <mergeCell ref="E33:E34"/>
    <mergeCell ref="G142:G143"/>
    <mergeCell ref="H142:H143"/>
    <mergeCell ref="I142:I143"/>
    <mergeCell ref="J142:J143"/>
    <mergeCell ref="K142:K143"/>
    <mergeCell ref="L142:L143"/>
    <mergeCell ref="M142:M143"/>
    <mergeCell ref="N142:N143"/>
    <mergeCell ref="A139:B139"/>
    <mergeCell ref="A140:B140"/>
    <mergeCell ref="A141:B141"/>
    <mergeCell ref="C142:C143"/>
    <mergeCell ref="D142:D143"/>
    <mergeCell ref="E142:E143"/>
    <mergeCell ref="F142:F143"/>
    <mergeCell ref="G129:G130"/>
    <mergeCell ref="H129:H130"/>
    <mergeCell ref="I129:I130"/>
    <mergeCell ref="J129:J130"/>
    <mergeCell ref="K129:K130"/>
    <mergeCell ref="L129:L130"/>
    <mergeCell ref="M129:M130"/>
    <mergeCell ref="N129:N130"/>
    <mergeCell ref="A126:B126"/>
    <mergeCell ref="A127:B127"/>
    <mergeCell ref="A128:B128"/>
    <mergeCell ref="C129:C130"/>
    <mergeCell ref="D129:D130"/>
    <mergeCell ref="E129:E130"/>
    <mergeCell ref="F129:F130"/>
    <mergeCell ref="G116:G117"/>
    <mergeCell ref="H116:H117"/>
    <mergeCell ref="I116:I117"/>
    <mergeCell ref="J116:J117"/>
    <mergeCell ref="K116:K117"/>
    <mergeCell ref="L116:L117"/>
    <mergeCell ref="M116:M117"/>
    <mergeCell ref="N116:N117"/>
    <mergeCell ref="A113:B113"/>
    <mergeCell ref="A114:B114"/>
    <mergeCell ref="A115:B115"/>
    <mergeCell ref="C116:C117"/>
    <mergeCell ref="D116:D117"/>
    <mergeCell ref="E116:E117"/>
    <mergeCell ref="F116:F117"/>
    <mergeCell ref="G103:G104"/>
    <mergeCell ref="H103:H104"/>
    <mergeCell ref="I103:I104"/>
    <mergeCell ref="J103:J104"/>
    <mergeCell ref="K103:K104"/>
    <mergeCell ref="L103:L104"/>
    <mergeCell ref="M103:M104"/>
    <mergeCell ref="N103:N104"/>
    <mergeCell ref="A100:B100"/>
    <mergeCell ref="A101:B101"/>
    <mergeCell ref="A102:B102"/>
    <mergeCell ref="C103:C104"/>
    <mergeCell ref="D103:D104"/>
    <mergeCell ref="E103:E104"/>
    <mergeCell ref="F103:F104"/>
    <mergeCell ref="G88:G89"/>
    <mergeCell ref="H88:H89"/>
    <mergeCell ref="I88:I89"/>
    <mergeCell ref="J88:J89"/>
    <mergeCell ref="K88:K89"/>
    <mergeCell ref="L88:L89"/>
    <mergeCell ref="M88:M89"/>
    <mergeCell ref="N88:N89"/>
    <mergeCell ref="A85:B85"/>
    <mergeCell ref="A86:B86"/>
    <mergeCell ref="A87:B87"/>
    <mergeCell ref="C88:C89"/>
    <mergeCell ref="D88:D89"/>
    <mergeCell ref="E88:E89"/>
    <mergeCell ref="F88:F89"/>
    <mergeCell ref="G75:G76"/>
    <mergeCell ref="H75:H76"/>
    <mergeCell ref="I75:I76"/>
    <mergeCell ref="J75:J76"/>
    <mergeCell ref="K75:K76"/>
    <mergeCell ref="L75:L76"/>
    <mergeCell ref="M75:M76"/>
    <mergeCell ref="N75:N76"/>
    <mergeCell ref="A72:B72"/>
    <mergeCell ref="A73:B73"/>
    <mergeCell ref="A74:B74"/>
    <mergeCell ref="C75:C76"/>
    <mergeCell ref="D75:D76"/>
    <mergeCell ref="E75:E76"/>
    <mergeCell ref="F75:F76"/>
    <mergeCell ref="M33:M34"/>
    <mergeCell ref="N33:N34"/>
    <mergeCell ref="F33:F34"/>
    <mergeCell ref="G33:G34"/>
    <mergeCell ref="H33:H34"/>
    <mergeCell ref="I33:I34"/>
    <mergeCell ref="J33:J34"/>
    <mergeCell ref="K33:K34"/>
    <mergeCell ref="L33:L34"/>
    <mergeCell ref="M16:M17"/>
    <mergeCell ref="N16:N17"/>
    <mergeCell ref="O16:P16"/>
    <mergeCell ref="O17:P17"/>
    <mergeCell ref="O18:P18"/>
    <mergeCell ref="O31:P31"/>
    <mergeCell ref="E16:E17"/>
    <mergeCell ref="F16:F17"/>
    <mergeCell ref="H16:H17"/>
    <mergeCell ref="I16:I17"/>
    <mergeCell ref="J16:J17"/>
    <mergeCell ref="K16:K17"/>
    <mergeCell ref="L16:L17"/>
    <mergeCell ref="H3:H4"/>
    <mergeCell ref="I3:I4"/>
    <mergeCell ref="J3:J4"/>
    <mergeCell ref="K3:K4"/>
    <mergeCell ref="L3:L4"/>
    <mergeCell ref="M3:M4"/>
    <mergeCell ref="O15:P15"/>
    <mergeCell ref="A1:B2"/>
    <mergeCell ref="C1:N2"/>
    <mergeCell ref="P1:Q1"/>
    <mergeCell ref="P2:Q2"/>
    <mergeCell ref="C3:C4"/>
    <mergeCell ref="D3:D4"/>
    <mergeCell ref="E3:E4"/>
    <mergeCell ref="N3:N4"/>
    <mergeCell ref="F3:F4"/>
    <mergeCell ref="G3:G4"/>
    <mergeCell ref="A13:B13"/>
    <mergeCell ref="A14:B14"/>
  </mergeCells>
  <conditionalFormatting sqref="C15">
    <cfRule type="cellIs" dxfId="43" priority="1" operator="greaterThan">
      <formula>$C$14</formula>
    </cfRule>
    <cfRule type="cellIs" dxfId="42" priority="2" operator="lessThanOrEqual">
      <formula>$C$14</formula>
    </cfRule>
  </conditionalFormatting>
  <conditionalFormatting sqref="C32">
    <cfRule type="cellIs" dxfId="41" priority="3" operator="greaterThan">
      <formula>$C$14</formula>
    </cfRule>
    <cfRule type="cellIs" dxfId="40" priority="4" operator="lessThanOrEqual">
      <formula>$C$14</formula>
    </cfRule>
  </conditionalFormatting>
  <conditionalFormatting sqref="C44">
    <cfRule type="cellIs" dxfId="39" priority="5" operator="greaterThan">
      <formula>$C$14</formula>
    </cfRule>
    <cfRule type="cellIs" dxfId="38" priority="6" operator="lessThanOrEqual">
      <formula>$C$14</formula>
    </cfRule>
  </conditionalFormatting>
  <conditionalFormatting sqref="C57">
    <cfRule type="cellIs" dxfId="37" priority="7" operator="greaterThan">
      <formula>$C$14</formula>
    </cfRule>
    <cfRule type="cellIs" dxfId="36" priority="8" operator="lessThanOrEqual">
      <formula>$C$14</formula>
    </cfRule>
  </conditionalFormatting>
  <conditionalFormatting sqref="C74">
    <cfRule type="cellIs" dxfId="35" priority="9" operator="greaterThan">
      <formula>$C$14</formula>
    </cfRule>
    <cfRule type="cellIs" dxfId="34" priority="10" operator="lessThanOrEqual">
      <formula>$C$14</formula>
    </cfRule>
  </conditionalFormatting>
  <conditionalFormatting sqref="C87">
    <cfRule type="cellIs" dxfId="33" priority="11" operator="greaterThan">
      <formula>$C$14</formula>
    </cfRule>
    <cfRule type="cellIs" dxfId="32" priority="12" operator="lessThanOrEqual">
      <formula>$C$14</formula>
    </cfRule>
  </conditionalFormatting>
  <conditionalFormatting sqref="C102">
    <cfRule type="cellIs" dxfId="31" priority="13" operator="greaterThan">
      <formula>$C$14</formula>
    </cfRule>
    <cfRule type="cellIs" dxfId="30" priority="14" operator="lessThanOrEqual">
      <formula>$C$14</formula>
    </cfRule>
  </conditionalFormatting>
  <conditionalFormatting sqref="C115">
    <cfRule type="cellIs" dxfId="29" priority="15" operator="greaterThan">
      <formula>$C$14</formula>
    </cfRule>
    <cfRule type="cellIs" dxfId="28" priority="16" operator="lessThanOrEqual">
      <formula>$C$14</formula>
    </cfRule>
  </conditionalFormatting>
  <conditionalFormatting sqref="C128">
    <cfRule type="cellIs" dxfId="27" priority="17" operator="greaterThan">
      <formula>$C$14</formula>
    </cfRule>
    <cfRule type="cellIs" dxfId="26" priority="18" operator="lessThanOrEqual">
      <formula>$C$14</formula>
    </cfRule>
  </conditionalFormatting>
  <conditionalFormatting sqref="C141">
    <cfRule type="cellIs" dxfId="25" priority="19" operator="greaterThan">
      <formula>$C$14</formula>
    </cfRule>
    <cfRule type="cellIs" dxfId="24" priority="20" operator="lessThanOrEqual">
      <formula>$C$14</formula>
    </cfRule>
  </conditionalFormatting>
  <conditionalFormatting sqref="C154">
    <cfRule type="cellIs" dxfId="23" priority="21" operator="greaterThan">
      <formula>$C$14</formula>
    </cfRule>
    <cfRule type="cellIs" dxfId="22" priority="22" operator="lessThanOrEqual">
      <formula>$C$14</formula>
    </cfRule>
  </conditionalFormatting>
  <conditionalFormatting sqref="C167">
    <cfRule type="cellIs" dxfId="21" priority="23" operator="greaterThan">
      <formula>$C$14</formula>
    </cfRule>
    <cfRule type="cellIs" dxfId="20" priority="24" operator="lessThanOrEqual">
      <formula>$C$14</formula>
    </cfRule>
  </conditionalFormatting>
  <conditionalFormatting sqref="C182">
    <cfRule type="cellIs" dxfId="19" priority="25" operator="greaterThan">
      <formula>$C$14</formula>
    </cfRule>
    <cfRule type="cellIs" dxfId="18" priority="26" operator="lessThanOrEqual">
      <formula>$C$14</formula>
    </cfRule>
  </conditionalFormatting>
  <conditionalFormatting sqref="C195">
    <cfRule type="cellIs" dxfId="17" priority="27" operator="greaterThan">
      <formula>$C$14</formula>
    </cfRule>
    <cfRule type="cellIs" dxfId="16" priority="28" operator="lessThanOrEqual">
      <formula>$C$14</formula>
    </cfRule>
  </conditionalFormatting>
  <conditionalFormatting sqref="C208">
    <cfRule type="cellIs" dxfId="15" priority="29" operator="greaterThan">
      <formula>$C$14</formula>
    </cfRule>
    <cfRule type="cellIs" dxfId="14" priority="30" operator="lessThanOrEqual">
      <formula>$C$14</formula>
    </cfRule>
  </conditionalFormatting>
  <conditionalFormatting sqref="C221">
    <cfRule type="cellIs" dxfId="13" priority="31" operator="greaterThan">
      <formula>$C$14</formula>
    </cfRule>
    <cfRule type="cellIs" dxfId="12" priority="32" operator="lessThanOrEqual">
      <formula>$C$14</formula>
    </cfRule>
  </conditionalFormatting>
  <conditionalFormatting sqref="C234">
    <cfRule type="cellIs" dxfId="11" priority="33" operator="greaterThan">
      <formula>$C$14</formula>
    </cfRule>
    <cfRule type="cellIs" dxfId="10" priority="34" operator="lessThanOrEqual">
      <formula>$C$14</formula>
    </cfRule>
  </conditionalFormatting>
  <conditionalFormatting sqref="C247">
    <cfRule type="cellIs" dxfId="9" priority="35" operator="greaterThan">
      <formula>$C$14</formula>
    </cfRule>
    <cfRule type="cellIs" dxfId="8" priority="36" operator="lessThanOrEqual">
      <formula>$C$14</formula>
    </cfRule>
  </conditionalFormatting>
  <conditionalFormatting sqref="C260">
    <cfRule type="cellIs" dxfId="7" priority="37" operator="greaterThan">
      <formula>$C$14</formula>
    </cfRule>
    <cfRule type="cellIs" dxfId="6" priority="38" operator="lessThanOrEqual">
      <formula>$C$14</formula>
    </cfRule>
  </conditionalFormatting>
  <conditionalFormatting sqref="C273">
    <cfRule type="cellIs" dxfId="5" priority="39" operator="greaterThan">
      <formula>$C$14</formula>
    </cfRule>
    <cfRule type="cellIs" dxfId="4" priority="40" operator="lessThanOrEqual">
      <formula>$C$14</formula>
    </cfRule>
  </conditionalFormatting>
  <conditionalFormatting sqref="C286">
    <cfRule type="cellIs" dxfId="3" priority="41" operator="greaterThan">
      <formula>$C$14</formula>
    </cfRule>
    <cfRule type="cellIs" dxfId="2" priority="42" operator="lessThanOrEqual">
      <formula>$C$14</formula>
    </cfRule>
  </conditionalFormatting>
  <conditionalFormatting sqref="Q17">
    <cfRule type="cellIs" dxfId="1" priority="43" operator="lessThanOrEqual">
      <formula>$Q$18</formula>
    </cfRule>
    <cfRule type="cellIs" dxfId="0" priority="44" operator="greaterThan">
      <formula>$Q$18</formula>
    </cfRule>
  </conditionalFormatting>
  <pageMargins left="0.7" right="0.7" top="0.75" bottom="0.75" header="0" footer="0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outlinePr summaryBelow="0" summaryRight="0"/>
  </sheetPr>
  <dimension ref="A1:T1000"/>
  <sheetViews>
    <sheetView workbookViewId="0"/>
  </sheetViews>
  <sheetFormatPr baseColWidth="10" defaultColWidth="11.1640625" defaultRowHeight="15" customHeight="1"/>
  <sheetData>
    <row r="1" spans="1:20">
      <c r="A1" s="5" t="str">
        <f ca="1">IFERROR(__xludf.DUMMYFUNCTION("IMPORTRANGE(""https://docs.google.com/spreadsheets/d/1TmYEQeMzhvML_-KtL8YZJYP8jHrpYgyjF0MBmrMqL24/edit?gid=902977684#gid=902977684"",""SINDICATURA 24-25!A1:T"")"),"DEPENDENCIA")</f>
        <v>DEPENDENCIA</v>
      </c>
      <c r="B1" s="5" t="str">
        <f ca="1">IFERROR(__xludf.DUMMYFUNCTION("""COMPUTED_VALUE"""),"SINDICATURA")</f>
        <v>SINDICATURA</v>
      </c>
      <c r="C1" s="5"/>
      <c r="D1" s="5"/>
      <c r="E1" s="5" t="str">
        <f ca="1">IFERROR(__xludf.DUMMYFUNCTION("""COMPUTED_VALUE"""),"PERIODO")</f>
        <v>PERIODO</v>
      </c>
      <c r="F1" s="5" t="str">
        <f ca="1">IFERROR(__xludf.DUMMYFUNCTION("""COMPUTED_VALUE"""),"OCTUBRE 2024 - SEPTIEMBRE 2025")</f>
        <v>OCTUBRE 2024 - SEPTIEMBRE 2025</v>
      </c>
      <c r="G1" s="5"/>
      <c r="H1" s="5" t="str">
        <f ca="1">IFERROR(__xludf.DUMMYFUNCTION("""COMPUTED_VALUE"""),"SISTEMA MUNICIPAL DE GESTION DE RESULTADOS")</f>
        <v>SISTEMA MUNICIPAL DE GESTION DE RESULTADOS</v>
      </c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</row>
    <row r="2" spans="1:20">
      <c r="A2" s="5" t="str">
        <f ca="1">IFERROR(__xludf.DUMMYFUNCTION("""COMPUTED_VALUE"""),"DEPARTAMENTO")</f>
        <v>DEPARTAMENTO</v>
      </c>
      <c r="B2" s="5" t="str">
        <f ca="1">IFERROR(__xludf.DUMMYFUNCTION("""COMPUTED_VALUE"""),"INDICADORES")</f>
        <v>INDICADORES</v>
      </c>
      <c r="C2" s="5" t="str">
        <f ca="1">IFERROR(__xludf.DUMMYFUNCTION("""COMPUTED_VALUE"""),"META ANUAL")</f>
        <v>META ANUAL</v>
      </c>
      <c r="D2" s="5" t="str">
        <f ca="1">IFERROR(__xludf.DUMMYFUNCTION("""COMPUTED_VALUE"""),"UNIDAD DE MEDIDA")</f>
        <v>UNIDAD DE MEDIDA</v>
      </c>
      <c r="E2" s="5" t="str">
        <f ca="1">IFERROR(__xludf.DUMMYFUNCTION("""COMPUTED_VALUE"""),"TIPO DE INDICADOR")</f>
        <v>TIPO DE INDICADOR</v>
      </c>
      <c r="F2" s="5" t="str">
        <f ca="1">IFERROR(__xludf.DUMMYFUNCTION("""COMPUTED_VALUE"""),"MEDIO DE VERIFICACION")</f>
        <v>MEDIO DE VERIFICACION</v>
      </c>
      <c r="G2" s="5" t="str">
        <f ca="1">IFERROR(__xludf.DUMMYFUNCTION("""COMPUTED_VALUE"""),"% AVANCE ")</f>
        <v xml:space="preserve">% AVANCE </v>
      </c>
      <c r="H2" s="5" t="str">
        <f ca="1">IFERROR(__xludf.DUMMYFUNCTION("""COMPUTED_VALUE"""),"OCTUBRE")</f>
        <v>OCTUBRE</v>
      </c>
      <c r="I2" s="5" t="str">
        <f ca="1">IFERROR(__xludf.DUMMYFUNCTION("""COMPUTED_VALUE"""),"NOVIEMBRE")</f>
        <v>NOVIEMBRE</v>
      </c>
      <c r="J2" s="5" t="str">
        <f ca="1">IFERROR(__xludf.DUMMYFUNCTION("""COMPUTED_VALUE"""),"DICIEMBRE")</f>
        <v>DICIEMBRE</v>
      </c>
      <c r="K2" s="5" t="str">
        <f ca="1">IFERROR(__xludf.DUMMYFUNCTION("""COMPUTED_VALUE"""),"ENERO")</f>
        <v>ENERO</v>
      </c>
      <c r="L2" s="5" t="str">
        <f ca="1">IFERROR(__xludf.DUMMYFUNCTION("""COMPUTED_VALUE"""),"FEBRERO")</f>
        <v>FEBRERO</v>
      </c>
      <c r="M2" s="5" t="str">
        <f ca="1">IFERROR(__xludf.DUMMYFUNCTION("""COMPUTED_VALUE"""),"MARZO")</f>
        <v>MARZO</v>
      </c>
      <c r="N2" s="5" t="str">
        <f ca="1">IFERROR(__xludf.DUMMYFUNCTION("""COMPUTED_VALUE"""),"ABRIL")</f>
        <v>ABRIL</v>
      </c>
      <c r="O2" s="5" t="str">
        <f ca="1">IFERROR(__xludf.DUMMYFUNCTION("""COMPUTED_VALUE"""),"MAYO")</f>
        <v>MAYO</v>
      </c>
      <c r="P2" s="5" t="str">
        <f ca="1">IFERROR(__xludf.DUMMYFUNCTION("""COMPUTED_VALUE"""),"JUNIO")</f>
        <v>JUNIO</v>
      </c>
      <c r="Q2" s="5" t="str">
        <f ca="1">IFERROR(__xludf.DUMMYFUNCTION("""COMPUTED_VALUE"""),"JULIO")</f>
        <v>JULIO</v>
      </c>
      <c r="R2" s="5" t="str">
        <f ca="1">IFERROR(__xludf.DUMMYFUNCTION("""COMPUTED_VALUE"""),"AGOSTO")</f>
        <v>AGOSTO</v>
      </c>
      <c r="S2" s="5" t="str">
        <f ca="1">IFERROR(__xludf.DUMMYFUNCTION("""COMPUTED_VALUE"""),"SEPTIEMBRE")</f>
        <v>SEPTIEMBRE</v>
      </c>
      <c r="T2" s="5" t="str">
        <f ca="1">IFERROR(__xludf.DUMMYFUNCTION("""COMPUTED_VALUE"""),"SUMATORIA TOTAL")</f>
        <v>SUMATORIA TOTAL</v>
      </c>
    </row>
    <row r="3" spans="1:20">
      <c r="A3" s="5" t="str">
        <f ca="1">IFERROR(__xludf.DUMMYFUNCTION("""COMPUTED_VALUE"""),"PREVENCION SOCIAL")</f>
        <v>PREVENCION SOCIAL</v>
      </c>
      <c r="B3" s="5" t="str">
        <f ca="1">IFERROR(__xludf.DUMMYFUNCTION("""COMPUTED_VALUE"""),"PROGRAMAS IMPLEMENTADOS")</f>
        <v>PROGRAMAS IMPLEMENTADOS</v>
      </c>
      <c r="C3" s="5">
        <f ca="1">IFERROR(__xludf.DUMMYFUNCTION("""COMPUTED_VALUE"""),28)</f>
        <v>28</v>
      </c>
      <c r="D3" s="5" t="str">
        <f ca="1">IFERROR(__xludf.DUMMYFUNCTION("""COMPUTED_VALUE"""),"PROGRAMAS")</f>
        <v>PROGRAMAS</v>
      </c>
      <c r="E3" s="5" t="str">
        <f ca="1">IFERROR(__xludf.DUMMYFUNCTION("""COMPUTED_VALUE"""),"ASCENDENTE")</f>
        <v>ASCENDENTE</v>
      </c>
      <c r="F3" s="5" t="str">
        <f ca="1">IFERROR(__xludf.DUMMYFUNCTION("""COMPUTED_VALUE"""),"PROGRAMA OPERATIVO ANUAL")</f>
        <v>PROGRAMA OPERATIVO ANUAL</v>
      </c>
      <c r="G3" s="5">
        <f ca="1">IFERROR(__xludf.DUMMYFUNCTION("""COMPUTED_VALUE"""),82.1428571428571)</f>
        <v>82.142857142857096</v>
      </c>
      <c r="H3" s="5">
        <f ca="1">IFERROR(__xludf.DUMMYFUNCTION("""COMPUTED_VALUE"""),1)</f>
        <v>1</v>
      </c>
      <c r="I3" s="5">
        <f ca="1">IFERROR(__xludf.DUMMYFUNCTION("""COMPUTED_VALUE"""),3)</f>
        <v>3</v>
      </c>
      <c r="J3" s="5">
        <f ca="1">IFERROR(__xludf.DUMMYFUNCTION("""COMPUTED_VALUE"""),7)</f>
        <v>7</v>
      </c>
      <c r="K3" s="5">
        <f ca="1">IFERROR(__xludf.DUMMYFUNCTION("""COMPUTED_VALUE"""),3)</f>
        <v>3</v>
      </c>
      <c r="L3" s="5">
        <f ca="1">IFERROR(__xludf.DUMMYFUNCTION("""COMPUTED_VALUE"""),2)</f>
        <v>2</v>
      </c>
      <c r="M3" s="5">
        <f ca="1">IFERROR(__xludf.DUMMYFUNCTION("""COMPUTED_VALUE"""),4)</f>
        <v>4</v>
      </c>
      <c r="N3" s="5">
        <f ca="1">IFERROR(__xludf.DUMMYFUNCTION("""COMPUTED_VALUE"""),1)</f>
        <v>1</v>
      </c>
      <c r="O3" s="5">
        <f ca="1">IFERROR(__xludf.DUMMYFUNCTION("""COMPUTED_VALUE"""),1)</f>
        <v>1</v>
      </c>
      <c r="P3" s="5">
        <f ca="1">IFERROR(__xludf.DUMMYFUNCTION("""COMPUTED_VALUE"""),1)</f>
        <v>1</v>
      </c>
      <c r="Q3" s="5">
        <f ca="1">IFERROR(__xludf.DUMMYFUNCTION("""COMPUTED_VALUE"""),0)</f>
        <v>0</v>
      </c>
      <c r="R3" s="5">
        <f ca="1">IFERROR(__xludf.DUMMYFUNCTION("""COMPUTED_VALUE"""),0)</f>
        <v>0</v>
      </c>
      <c r="S3" s="5">
        <f ca="1">IFERROR(__xludf.DUMMYFUNCTION("""COMPUTED_VALUE"""),0)</f>
        <v>0</v>
      </c>
      <c r="T3" s="5">
        <f ca="1">IFERROR(__xludf.DUMMYFUNCTION("""COMPUTED_VALUE"""),23)</f>
        <v>23</v>
      </c>
    </row>
    <row r="4" spans="1:20">
      <c r="A4" s="5"/>
      <c r="B4" s="5" t="str">
        <f ca="1">IFERROR(__xludf.DUMMYFUNCTION("""COMPUTED_VALUE"""),"PERSONAS BENEFICIADAS")</f>
        <v>PERSONAS BENEFICIADAS</v>
      </c>
      <c r="C4" s="5">
        <f ca="1">IFERROR(__xludf.DUMMYFUNCTION("""COMPUTED_VALUE"""),3460)</f>
        <v>3460</v>
      </c>
      <c r="D4" s="5" t="str">
        <f ca="1">IFERROR(__xludf.DUMMYFUNCTION("""COMPUTED_VALUE"""),"NÚM. DE PERSONAS")</f>
        <v>NÚM. DE PERSONAS</v>
      </c>
      <c r="E4" s="5" t="str">
        <f ca="1">IFERROR(__xludf.DUMMYFUNCTION("""COMPUTED_VALUE"""),"ASCENDENTE")</f>
        <v>ASCENDENTE</v>
      </c>
      <c r="F4" s="5" t="str">
        <f ca="1">IFERROR(__xludf.DUMMYFUNCTION("""COMPUTED_VALUE"""),"PROGRAMA OPERATIVO ANUAL")</f>
        <v>PROGRAMA OPERATIVO ANUAL</v>
      </c>
      <c r="G4" s="5">
        <f ca="1">IFERROR(__xludf.DUMMYFUNCTION("""COMPUTED_VALUE"""),94.9710982658959)</f>
        <v>94.971098265895904</v>
      </c>
      <c r="H4" s="5">
        <f ca="1">IFERROR(__xludf.DUMMYFUNCTION("""COMPUTED_VALUE"""),40)</f>
        <v>40</v>
      </c>
      <c r="I4" s="5">
        <f ca="1">IFERROR(__xludf.DUMMYFUNCTION("""COMPUTED_VALUE"""),250)</f>
        <v>250</v>
      </c>
      <c r="J4" s="5">
        <f ca="1">IFERROR(__xludf.DUMMYFUNCTION("""COMPUTED_VALUE"""),470)</f>
        <v>470</v>
      </c>
      <c r="K4" s="5">
        <f ca="1">IFERROR(__xludf.DUMMYFUNCTION("""COMPUTED_VALUE"""),772)</f>
        <v>772</v>
      </c>
      <c r="L4" s="5">
        <f ca="1">IFERROR(__xludf.DUMMYFUNCTION("""COMPUTED_VALUE"""),810)</f>
        <v>810</v>
      </c>
      <c r="M4" s="5">
        <f ca="1">IFERROR(__xludf.DUMMYFUNCTION("""COMPUTED_VALUE"""),840)</f>
        <v>840</v>
      </c>
      <c r="N4" s="5">
        <f ca="1">IFERROR(__xludf.DUMMYFUNCTION("""COMPUTED_VALUE"""),38)</f>
        <v>38</v>
      </c>
      <c r="O4" s="5">
        <f ca="1">IFERROR(__xludf.DUMMYFUNCTION("""COMPUTED_VALUE"""),40)</f>
        <v>40</v>
      </c>
      <c r="P4" s="5">
        <f ca="1">IFERROR(__xludf.DUMMYFUNCTION("""COMPUTED_VALUE"""),26)</f>
        <v>26</v>
      </c>
      <c r="Q4" s="5">
        <f ca="1">IFERROR(__xludf.DUMMYFUNCTION("""COMPUTED_VALUE"""),0)</f>
        <v>0</v>
      </c>
      <c r="R4" s="5">
        <f ca="1">IFERROR(__xludf.DUMMYFUNCTION("""COMPUTED_VALUE"""),0)</f>
        <v>0</v>
      </c>
      <c r="S4" s="5">
        <f ca="1">IFERROR(__xludf.DUMMYFUNCTION("""COMPUTED_VALUE"""),0)</f>
        <v>0</v>
      </c>
      <c r="T4" s="5">
        <f ca="1">IFERROR(__xludf.DUMMYFUNCTION("""COMPUTED_VALUE"""),3286)</f>
        <v>3286</v>
      </c>
    </row>
    <row r="5" spans="1:20">
      <c r="A5" s="5" t="str">
        <f ca="1">IFERROR(__xludf.DUMMYFUNCTION("""COMPUTED_VALUE"""),"DIRECCION JURIDICA")</f>
        <v>DIRECCION JURIDICA</v>
      </c>
      <c r="B5" s="5" t="str">
        <f ca="1">IFERROR(__xludf.DUMMYFUNCTION("""COMPUTED_VALUE"""),"NUMERO DE JUICIOS ATENDIDOS")</f>
        <v>NUMERO DE JUICIOS ATENDIDOS</v>
      </c>
      <c r="C5" s="5">
        <f ca="1">IFERROR(__xludf.DUMMYFUNCTION("""COMPUTED_VALUE"""),155)</f>
        <v>155</v>
      </c>
      <c r="D5" s="5" t="str">
        <f ca="1">IFERROR(__xludf.DUMMYFUNCTION("""COMPUTED_VALUE"""),"JUICIOS ATENDIDOS")</f>
        <v>JUICIOS ATENDIDOS</v>
      </c>
      <c r="E5" s="5" t="str">
        <f ca="1">IFERROR(__xludf.DUMMYFUNCTION("""COMPUTED_VALUE"""),"ASCENDENTE")</f>
        <v>ASCENDENTE</v>
      </c>
      <c r="F5" s="5" t="str">
        <f ca="1">IFERROR(__xludf.DUMMYFUNCTION("""COMPUTED_VALUE"""),"BITACORA OPERATIVA")</f>
        <v>BITACORA OPERATIVA</v>
      </c>
      <c r="G5" s="5">
        <f ca="1">IFERROR(__xludf.DUMMYFUNCTION("""COMPUTED_VALUE"""),81.2903225806451)</f>
        <v>81.290322580645096</v>
      </c>
      <c r="H5" s="5">
        <f ca="1">IFERROR(__xludf.DUMMYFUNCTION("""COMPUTED_VALUE"""),10)</f>
        <v>10</v>
      </c>
      <c r="I5" s="5">
        <f ca="1">IFERROR(__xludf.DUMMYFUNCTION("""COMPUTED_VALUE"""),17)</f>
        <v>17</v>
      </c>
      <c r="J5" s="5">
        <f ca="1">IFERROR(__xludf.DUMMYFUNCTION("""COMPUTED_VALUE"""),14)</f>
        <v>14</v>
      </c>
      <c r="K5" s="5">
        <f ca="1">IFERROR(__xludf.DUMMYFUNCTION("""COMPUTED_VALUE"""),16)</f>
        <v>16</v>
      </c>
      <c r="L5" s="5">
        <f ca="1">IFERROR(__xludf.DUMMYFUNCTION("""COMPUTED_VALUE"""),14)</f>
        <v>14</v>
      </c>
      <c r="M5" s="5">
        <f ca="1">IFERROR(__xludf.DUMMYFUNCTION("""COMPUTED_VALUE"""),18)</f>
        <v>18</v>
      </c>
      <c r="N5" s="5">
        <f ca="1">IFERROR(__xludf.DUMMYFUNCTION("""COMPUTED_VALUE"""),11)</f>
        <v>11</v>
      </c>
      <c r="O5" s="5">
        <f ca="1">IFERROR(__xludf.DUMMYFUNCTION("""COMPUTED_VALUE"""),13)</f>
        <v>13</v>
      </c>
      <c r="P5" s="5">
        <f ca="1">IFERROR(__xludf.DUMMYFUNCTION("""COMPUTED_VALUE"""),13)</f>
        <v>13</v>
      </c>
      <c r="Q5" s="5">
        <f ca="1">IFERROR(__xludf.DUMMYFUNCTION("""COMPUTED_VALUE"""),0)</f>
        <v>0</v>
      </c>
      <c r="R5" s="5">
        <f ca="1">IFERROR(__xludf.DUMMYFUNCTION("""COMPUTED_VALUE"""),0)</f>
        <v>0</v>
      </c>
      <c r="S5" s="5">
        <f ca="1">IFERROR(__xludf.DUMMYFUNCTION("""COMPUTED_VALUE"""),0)</f>
        <v>0</v>
      </c>
      <c r="T5" s="5">
        <f ca="1">IFERROR(__xludf.DUMMYFUNCTION("""COMPUTED_VALUE"""),126)</f>
        <v>126</v>
      </c>
    </row>
    <row r="6" spans="1:20">
      <c r="A6" s="5" t="str">
        <f ca="1">IFERROR(__xludf.DUMMYFUNCTION("""COMPUTED_VALUE"""),"SUB DIRECCION JURIDICA")</f>
        <v>SUB DIRECCION JURIDICA</v>
      </c>
      <c r="B6" s="5" t="str">
        <f ca="1">IFERROR(__xludf.DUMMYFUNCTION("""COMPUTED_VALUE"""),"NUMERO DE ASESORIAS JURIDICAS")</f>
        <v>NUMERO DE ASESORIAS JURIDICAS</v>
      </c>
      <c r="C6" s="5">
        <f ca="1">IFERROR(__xludf.DUMMYFUNCTION("""COMPUTED_VALUE"""),480)</f>
        <v>480</v>
      </c>
      <c r="D6" s="5" t="str">
        <f ca="1">IFERROR(__xludf.DUMMYFUNCTION("""COMPUTED_VALUE"""),"ASESORIAS ")</f>
        <v xml:space="preserve">ASESORIAS </v>
      </c>
      <c r="E6" s="5" t="str">
        <f ca="1">IFERROR(__xludf.DUMMYFUNCTION("""COMPUTED_VALUE"""),"ASCENDENTE")</f>
        <v>ASCENDENTE</v>
      </c>
      <c r="F6" s="5" t="str">
        <f ca="1">IFERROR(__xludf.DUMMYFUNCTION("""COMPUTED_VALUE"""),"BITACORA OPERATIVA")</f>
        <v>BITACORA OPERATIVA</v>
      </c>
      <c r="G6" s="5">
        <f ca="1">IFERROR(__xludf.DUMMYFUNCTION("""COMPUTED_VALUE"""),95.2083333333333)</f>
        <v>95.2083333333333</v>
      </c>
      <c r="H6" s="5">
        <f ca="1">IFERROR(__xludf.DUMMYFUNCTION("""COMPUTED_VALUE"""),48)</f>
        <v>48</v>
      </c>
      <c r="I6" s="5">
        <f ca="1">IFERROR(__xludf.DUMMYFUNCTION("""COMPUTED_VALUE"""),55)</f>
        <v>55</v>
      </c>
      <c r="J6" s="5">
        <f ca="1">IFERROR(__xludf.DUMMYFUNCTION("""COMPUTED_VALUE"""),46)</f>
        <v>46</v>
      </c>
      <c r="K6" s="5">
        <f ca="1">IFERROR(__xludf.DUMMYFUNCTION("""COMPUTED_VALUE"""),52)</f>
        <v>52</v>
      </c>
      <c r="L6" s="5">
        <f ca="1">IFERROR(__xludf.DUMMYFUNCTION("""COMPUTED_VALUE"""),54)</f>
        <v>54</v>
      </c>
      <c r="M6" s="5">
        <f ca="1">IFERROR(__xludf.DUMMYFUNCTION("""COMPUTED_VALUE"""),59)</f>
        <v>59</v>
      </c>
      <c r="N6" s="5">
        <f ca="1">IFERROR(__xludf.DUMMYFUNCTION("""COMPUTED_VALUE"""),58)</f>
        <v>58</v>
      </c>
      <c r="O6" s="5">
        <f ca="1">IFERROR(__xludf.DUMMYFUNCTION("""COMPUTED_VALUE"""),48)</f>
        <v>48</v>
      </c>
      <c r="P6" s="5">
        <f ca="1">IFERROR(__xludf.DUMMYFUNCTION("""COMPUTED_VALUE"""),37)</f>
        <v>37</v>
      </c>
      <c r="Q6" s="5">
        <f ca="1">IFERROR(__xludf.DUMMYFUNCTION("""COMPUTED_VALUE"""),0)</f>
        <v>0</v>
      </c>
      <c r="R6" s="5">
        <f ca="1">IFERROR(__xludf.DUMMYFUNCTION("""COMPUTED_VALUE"""),0)</f>
        <v>0</v>
      </c>
      <c r="S6" s="5">
        <f ca="1">IFERROR(__xludf.DUMMYFUNCTION("""COMPUTED_VALUE"""),0)</f>
        <v>0</v>
      </c>
      <c r="T6" s="5">
        <f ca="1">IFERROR(__xludf.DUMMYFUNCTION("""COMPUTED_VALUE"""),457)</f>
        <v>457</v>
      </c>
    </row>
    <row r="7" spans="1:20">
      <c r="A7" s="5"/>
      <c r="B7" s="5" t="str">
        <f ca="1">IFERROR(__xludf.DUMMYFUNCTION("""COMPUTED_VALUE"""),"PERSONAS BENEFICIADAS SIPPINA")</f>
        <v>PERSONAS BENEFICIADAS SIPPINA</v>
      </c>
      <c r="C7" s="5">
        <f ca="1">IFERROR(__xludf.DUMMYFUNCTION("""COMPUTED_VALUE"""),15)</f>
        <v>15</v>
      </c>
      <c r="D7" s="5" t="str">
        <f ca="1">IFERROR(__xludf.DUMMYFUNCTION("""COMPUTED_VALUE"""),"NÚM. DE PERSONAS")</f>
        <v>NÚM. DE PERSONAS</v>
      </c>
      <c r="E7" s="5" t="str">
        <f ca="1">IFERROR(__xludf.DUMMYFUNCTION("""COMPUTED_VALUE"""),"ASCENDENTE")</f>
        <v>ASCENDENTE</v>
      </c>
      <c r="F7" s="5" t="str">
        <f ca="1">IFERROR(__xludf.DUMMYFUNCTION("""COMPUTED_VALUE"""),"BITACORA OPERATIVA")</f>
        <v>BITACORA OPERATIVA</v>
      </c>
      <c r="G7" s="5">
        <f ca="1">IFERROR(__xludf.DUMMYFUNCTION("""COMPUTED_VALUE"""),86.6666666666666)</f>
        <v>86.6666666666666</v>
      </c>
      <c r="H7" s="5">
        <f ca="1">IFERROR(__xludf.DUMMYFUNCTION("""COMPUTED_VALUE"""),0)</f>
        <v>0</v>
      </c>
      <c r="I7" s="5">
        <f ca="1">IFERROR(__xludf.DUMMYFUNCTION("""COMPUTED_VALUE"""),0)</f>
        <v>0</v>
      </c>
      <c r="J7" s="5">
        <f ca="1">IFERROR(__xludf.DUMMYFUNCTION("""COMPUTED_VALUE"""),0)</f>
        <v>0</v>
      </c>
      <c r="K7" s="5">
        <f ca="1">IFERROR(__xludf.DUMMYFUNCTION("""COMPUTED_VALUE"""),0)</f>
        <v>0</v>
      </c>
      <c r="L7" s="5">
        <f ca="1">IFERROR(__xludf.DUMMYFUNCTION("""COMPUTED_VALUE"""),0)</f>
        <v>0</v>
      </c>
      <c r="M7" s="5">
        <f ca="1">IFERROR(__xludf.DUMMYFUNCTION("""COMPUTED_VALUE"""),0)</f>
        <v>0</v>
      </c>
      <c r="N7" s="5">
        <f ca="1">IFERROR(__xludf.DUMMYFUNCTION("""COMPUTED_VALUE"""),8)</f>
        <v>8</v>
      </c>
      <c r="O7" s="5">
        <f ca="1">IFERROR(__xludf.DUMMYFUNCTION("""COMPUTED_VALUE"""),4)</f>
        <v>4</v>
      </c>
      <c r="P7" s="5">
        <f ca="1">IFERROR(__xludf.DUMMYFUNCTION("""COMPUTED_VALUE"""),1)</f>
        <v>1</v>
      </c>
      <c r="Q7" s="5">
        <f ca="1">IFERROR(__xludf.DUMMYFUNCTION("""COMPUTED_VALUE"""),0)</f>
        <v>0</v>
      </c>
      <c r="R7" s="5">
        <f ca="1">IFERROR(__xludf.DUMMYFUNCTION("""COMPUTED_VALUE"""),0)</f>
        <v>0</v>
      </c>
      <c r="S7" s="5">
        <f ca="1">IFERROR(__xludf.DUMMYFUNCTION("""COMPUTED_VALUE"""),0)</f>
        <v>0</v>
      </c>
      <c r="T7" s="5">
        <f ca="1">IFERROR(__xludf.DUMMYFUNCTION("""COMPUTED_VALUE"""),13)</f>
        <v>13</v>
      </c>
    </row>
    <row r="8" spans="1:20">
      <c r="A8" s="5" t="str">
        <f ca="1">IFERROR(__xludf.DUMMYFUNCTION("""COMPUTED_VALUE"""),"JUZGADOS MUNICIPALES")</f>
        <v>JUZGADOS MUNICIPALES</v>
      </c>
      <c r="B8" s="5" t="str">
        <f ca="1">IFERROR(__xludf.DUMMYFUNCTION("""COMPUTED_VALUE"""),"AUTOS PUESTOS A DISPOCISION")</f>
        <v>AUTOS PUESTOS A DISPOCISION</v>
      </c>
      <c r="C8" s="5">
        <f ca="1">IFERROR(__xludf.DUMMYFUNCTION("""COMPUTED_VALUE"""),350)</f>
        <v>350</v>
      </c>
      <c r="D8" s="5" t="str">
        <f ca="1">IFERROR(__xludf.DUMMYFUNCTION("""COMPUTED_VALUE"""),"AUTOS")</f>
        <v>AUTOS</v>
      </c>
      <c r="E8" s="5" t="str">
        <f ca="1">IFERROR(__xludf.DUMMYFUNCTION("""COMPUTED_VALUE"""),"DESCENDENTE")</f>
        <v>DESCENDENTE</v>
      </c>
      <c r="F8" s="5" t="str">
        <f ca="1">IFERROR(__xludf.DUMMYFUNCTION("""COMPUTED_VALUE"""),"BITACORA OPERATIVA")</f>
        <v>BITACORA OPERATIVA</v>
      </c>
      <c r="G8" s="5">
        <f ca="1">IFERROR(__xludf.DUMMYFUNCTION("""COMPUTED_VALUE"""),84.2857142857142)</f>
        <v>84.285714285714207</v>
      </c>
      <c r="H8" s="5">
        <f ca="1">IFERROR(__xludf.DUMMYFUNCTION("""COMPUTED_VALUE"""),6)</f>
        <v>6</v>
      </c>
      <c r="I8" s="5">
        <f ca="1">IFERROR(__xludf.DUMMYFUNCTION("""COMPUTED_VALUE"""),87)</f>
        <v>87</v>
      </c>
      <c r="J8" s="5">
        <f ca="1">IFERROR(__xludf.DUMMYFUNCTION("""COMPUTED_VALUE"""),45)</f>
        <v>45</v>
      </c>
      <c r="K8" s="5">
        <f ca="1">IFERROR(__xludf.DUMMYFUNCTION("""COMPUTED_VALUE"""),24)</f>
        <v>24</v>
      </c>
      <c r="L8" s="5">
        <f ca="1">IFERROR(__xludf.DUMMYFUNCTION("""COMPUTED_VALUE"""),17)</f>
        <v>17</v>
      </c>
      <c r="M8" s="5">
        <f ca="1">IFERROR(__xludf.DUMMYFUNCTION("""COMPUTED_VALUE"""),24)</f>
        <v>24</v>
      </c>
      <c r="N8" s="5">
        <f ca="1">IFERROR(__xludf.DUMMYFUNCTION("""COMPUTED_VALUE"""),20)</f>
        <v>20</v>
      </c>
      <c r="O8" s="5">
        <f ca="1">IFERROR(__xludf.DUMMYFUNCTION("""COMPUTED_VALUE"""),32)</f>
        <v>32</v>
      </c>
      <c r="P8" s="5">
        <f ca="1">IFERROR(__xludf.DUMMYFUNCTION("""COMPUTED_VALUE"""),40)</f>
        <v>40</v>
      </c>
      <c r="Q8" s="5">
        <f ca="1">IFERROR(__xludf.DUMMYFUNCTION("""COMPUTED_VALUE"""),0)</f>
        <v>0</v>
      </c>
      <c r="R8" s="5">
        <f ca="1">IFERROR(__xludf.DUMMYFUNCTION("""COMPUTED_VALUE"""),0)</f>
        <v>0</v>
      </c>
      <c r="S8" s="5">
        <f ca="1">IFERROR(__xludf.DUMMYFUNCTION("""COMPUTED_VALUE"""),0)</f>
        <v>0</v>
      </c>
      <c r="T8" s="5">
        <f ca="1">IFERROR(__xludf.DUMMYFUNCTION("""COMPUTED_VALUE"""),295)</f>
        <v>295</v>
      </c>
    </row>
    <row r="9" spans="1:20">
      <c r="A9" s="5"/>
      <c r="B9" s="5" t="str">
        <f ca="1">IFERROR(__xludf.DUMMYFUNCTION("""COMPUTED_VALUE"""),"MOTOS PUESTAS A DISPOSICION")</f>
        <v>MOTOS PUESTAS A DISPOSICION</v>
      </c>
      <c r="C9" s="5">
        <f ca="1">IFERROR(__xludf.DUMMYFUNCTION("""COMPUTED_VALUE"""),1050)</f>
        <v>1050</v>
      </c>
      <c r="D9" s="5" t="str">
        <f ca="1">IFERROR(__xludf.DUMMYFUNCTION("""COMPUTED_VALUE"""),"MOTOCICLETAS")</f>
        <v>MOTOCICLETAS</v>
      </c>
      <c r="E9" s="5" t="str">
        <f ca="1">IFERROR(__xludf.DUMMYFUNCTION("""COMPUTED_VALUE"""),"DESCENDENTE")</f>
        <v>DESCENDENTE</v>
      </c>
      <c r="F9" s="5" t="str">
        <f ca="1">IFERROR(__xludf.DUMMYFUNCTION("""COMPUTED_VALUE"""),"BITACORA OPERATIVA")</f>
        <v>BITACORA OPERATIVA</v>
      </c>
      <c r="G9" s="5">
        <f ca="1">IFERROR(__xludf.DUMMYFUNCTION("""COMPUTED_VALUE"""),71.1428571428571)</f>
        <v>71.142857142857096</v>
      </c>
      <c r="H9" s="5">
        <f ca="1">IFERROR(__xludf.DUMMYFUNCTION("""COMPUTED_VALUE"""),70)</f>
        <v>70</v>
      </c>
      <c r="I9" s="5">
        <f ca="1">IFERROR(__xludf.DUMMYFUNCTION("""COMPUTED_VALUE"""),91)</f>
        <v>91</v>
      </c>
      <c r="J9" s="5">
        <f ca="1">IFERROR(__xludf.DUMMYFUNCTION("""COMPUTED_VALUE"""),105)</f>
        <v>105</v>
      </c>
      <c r="K9" s="5">
        <f ca="1">IFERROR(__xludf.DUMMYFUNCTION("""COMPUTED_VALUE"""),118)</f>
        <v>118</v>
      </c>
      <c r="L9" s="5">
        <f ca="1">IFERROR(__xludf.DUMMYFUNCTION("""COMPUTED_VALUE"""),110)</f>
        <v>110</v>
      </c>
      <c r="M9" s="5">
        <f ca="1">IFERROR(__xludf.DUMMYFUNCTION("""COMPUTED_VALUE"""),97)</f>
        <v>97</v>
      </c>
      <c r="N9" s="5">
        <f ca="1">IFERROR(__xludf.DUMMYFUNCTION("""COMPUTED_VALUE"""),52)</f>
        <v>52</v>
      </c>
      <c r="O9" s="5">
        <f ca="1">IFERROR(__xludf.DUMMYFUNCTION("""COMPUTED_VALUE"""),63)</f>
        <v>63</v>
      </c>
      <c r="P9" s="5">
        <f ca="1">IFERROR(__xludf.DUMMYFUNCTION("""COMPUTED_VALUE"""),41)</f>
        <v>41</v>
      </c>
      <c r="Q9" s="5">
        <f ca="1">IFERROR(__xludf.DUMMYFUNCTION("""COMPUTED_VALUE"""),0)</f>
        <v>0</v>
      </c>
      <c r="R9" s="5">
        <f ca="1">IFERROR(__xludf.DUMMYFUNCTION("""COMPUTED_VALUE"""),0)</f>
        <v>0</v>
      </c>
      <c r="S9" s="5">
        <f ca="1">IFERROR(__xludf.DUMMYFUNCTION("""COMPUTED_VALUE"""),0)</f>
        <v>0</v>
      </c>
      <c r="T9" s="5">
        <f ca="1">IFERROR(__xludf.DUMMYFUNCTION("""COMPUTED_VALUE"""),747)</f>
        <v>747</v>
      </c>
    </row>
    <row r="10" spans="1:20">
      <c r="A10" s="5"/>
      <c r="B10" s="5" t="str">
        <f ca="1">IFERROR(__xludf.DUMMYFUNCTION("""COMPUTED_VALUE"""),"PERSONAS DETENIDAS POR FALTAS ADMINISTRATIVAS")</f>
        <v>PERSONAS DETENIDAS POR FALTAS ADMINISTRATIVAS</v>
      </c>
      <c r="C10" s="5">
        <f ca="1">IFERROR(__xludf.DUMMYFUNCTION("""COMPUTED_VALUE"""),390)</f>
        <v>390</v>
      </c>
      <c r="D10" s="5" t="str">
        <f ca="1">IFERROR(__xludf.DUMMYFUNCTION("""COMPUTED_VALUE"""),"NÚM. DE PERSONAS")</f>
        <v>NÚM. DE PERSONAS</v>
      </c>
      <c r="E10" s="5" t="str">
        <f ca="1">IFERROR(__xludf.DUMMYFUNCTION("""COMPUTED_VALUE"""),"DESCENDENTE")</f>
        <v>DESCENDENTE</v>
      </c>
      <c r="F10" s="5" t="str">
        <f ca="1">IFERROR(__xludf.DUMMYFUNCTION("""COMPUTED_VALUE"""),"BITACORA OPERATIVA")</f>
        <v>BITACORA OPERATIVA</v>
      </c>
      <c r="G10" s="5">
        <f ca="1">IFERROR(__xludf.DUMMYFUNCTION("""COMPUTED_VALUE"""),83.5897435897435)</f>
        <v>83.589743589743506</v>
      </c>
      <c r="H10" s="5">
        <f ca="1">IFERROR(__xludf.DUMMYFUNCTION("""COMPUTED_VALUE"""),25)</f>
        <v>25</v>
      </c>
      <c r="I10" s="5">
        <f ca="1">IFERROR(__xludf.DUMMYFUNCTION("""COMPUTED_VALUE"""),35)</f>
        <v>35</v>
      </c>
      <c r="J10" s="5">
        <f ca="1">IFERROR(__xludf.DUMMYFUNCTION("""COMPUTED_VALUE"""),58)</f>
        <v>58</v>
      </c>
      <c r="K10" s="5">
        <f ca="1">IFERROR(__xludf.DUMMYFUNCTION("""COMPUTED_VALUE"""),42)</f>
        <v>42</v>
      </c>
      <c r="L10" s="5">
        <f ca="1">IFERROR(__xludf.DUMMYFUNCTION("""COMPUTED_VALUE"""),48)</f>
        <v>48</v>
      </c>
      <c r="M10" s="5">
        <f ca="1">IFERROR(__xludf.DUMMYFUNCTION("""COMPUTED_VALUE"""),50)</f>
        <v>50</v>
      </c>
      <c r="N10" s="5">
        <f ca="1">IFERROR(__xludf.DUMMYFUNCTION("""COMPUTED_VALUE"""),23)</f>
        <v>23</v>
      </c>
      <c r="O10" s="5">
        <f ca="1">IFERROR(__xludf.DUMMYFUNCTION("""COMPUTED_VALUE"""),29)</f>
        <v>29</v>
      </c>
      <c r="P10" s="5">
        <f ca="1">IFERROR(__xludf.DUMMYFUNCTION("""COMPUTED_VALUE"""),16)</f>
        <v>16</v>
      </c>
      <c r="Q10" s="5">
        <f ca="1">IFERROR(__xludf.DUMMYFUNCTION("""COMPUTED_VALUE"""),0)</f>
        <v>0</v>
      </c>
      <c r="R10" s="5">
        <f ca="1">IFERROR(__xludf.DUMMYFUNCTION("""COMPUTED_VALUE"""),0)</f>
        <v>0</v>
      </c>
      <c r="S10" s="5">
        <f ca="1">IFERROR(__xludf.DUMMYFUNCTION("""COMPUTED_VALUE"""),0)</f>
        <v>0</v>
      </c>
      <c r="T10" s="5">
        <f ca="1">IFERROR(__xludf.DUMMYFUNCTION("""COMPUTED_VALUE"""),326)</f>
        <v>326</v>
      </c>
    </row>
    <row r="11" spans="1:20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</row>
    <row r="12" spans="1:20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</row>
    <row r="13" spans="1:20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</row>
    <row r="14" spans="1:20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</row>
    <row r="15" spans="1:20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</row>
    <row r="16" spans="1:20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</row>
    <row r="17" spans="1:20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</row>
    <row r="18" spans="1:20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</row>
    <row r="19" spans="1:20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</row>
    <row r="20" spans="1:20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</row>
    <row r="21" spans="1:20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</row>
    <row r="22" spans="1:20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</row>
    <row r="23" spans="1:20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</row>
    <row r="24" spans="1:20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</row>
    <row r="25" spans="1:20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</row>
    <row r="26" spans="1:20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</row>
    <row r="27" spans="1:20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</row>
    <row r="28" spans="1:20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</row>
    <row r="29" spans="1:20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</row>
    <row r="30" spans="1:20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</row>
    <row r="31" spans="1:20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</row>
    <row r="32" spans="1:20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</row>
    <row r="33" spans="1:20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</row>
    <row r="34" spans="1:20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20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</row>
    <row r="36" spans="1:20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0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</row>
    <row r="38" spans="1:20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</row>
    <row r="39" spans="1:20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</row>
    <row r="40" spans="1:20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</row>
    <row r="41" spans="1:20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</row>
    <row r="42" spans="1:20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</row>
    <row r="43" spans="1:20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0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0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0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</row>
    <row r="47" spans="1:20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</row>
    <row r="48" spans="1:20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</row>
    <row r="49" spans="1:20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</row>
    <row r="50" spans="1:2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</row>
    <row r="51" spans="1:20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</row>
    <row r="52" spans="1:20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0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0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0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0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0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0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0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0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0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0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0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0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</row>
    <row r="83" spans="1:20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</row>
    <row r="84" spans="1:20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</row>
    <row r="85" spans="1:20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</row>
    <row r="86" spans="1:20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</row>
    <row r="87" spans="1:20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</row>
    <row r="88" spans="1:20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</row>
    <row r="89" spans="1:20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</row>
    <row r="90" spans="1:2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</row>
    <row r="91" spans="1:20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</row>
    <row r="92" spans="1:20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</row>
    <row r="93" spans="1:20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</row>
    <row r="94" spans="1:20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</row>
    <row r="95" spans="1:20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</row>
    <row r="96" spans="1:20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</row>
    <row r="97" spans="1:20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</row>
    <row r="98" spans="1:20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</row>
    <row r="99" spans="1:20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</row>
    <row r="100" spans="1:2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</row>
    <row r="101" spans="1:20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</row>
    <row r="102" spans="1:20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</row>
    <row r="103" spans="1:20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</row>
    <row r="104" spans="1:20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</row>
    <row r="105" spans="1:20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</row>
    <row r="106" spans="1:20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</row>
    <row r="107" spans="1:20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</row>
    <row r="108" spans="1:20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</row>
    <row r="109" spans="1:20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</row>
    <row r="110" spans="1:2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</row>
    <row r="111" spans="1:20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</row>
    <row r="112" spans="1:20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</row>
    <row r="113" spans="1:20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</row>
    <row r="114" spans="1:20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</row>
    <row r="115" spans="1:20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</row>
    <row r="116" spans="1:20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</row>
    <row r="117" spans="1:20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</row>
    <row r="118" spans="1:20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</row>
    <row r="119" spans="1:20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</row>
    <row r="120" spans="1: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</row>
    <row r="121" spans="1:20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</row>
    <row r="122" spans="1:20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</row>
    <row r="123" spans="1:20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</row>
    <row r="124" spans="1:20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</row>
    <row r="125" spans="1:20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</row>
    <row r="126" spans="1:20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</row>
    <row r="127" spans="1:20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</row>
    <row r="128" spans="1:20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</row>
    <row r="129" spans="1:20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</row>
    <row r="130" spans="1:2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</row>
    <row r="131" spans="1:20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</row>
    <row r="132" spans="1:20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</row>
    <row r="133" spans="1:20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</row>
    <row r="134" spans="1:20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</row>
    <row r="135" spans="1:20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</row>
    <row r="136" spans="1:20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</row>
    <row r="137" spans="1:20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</row>
    <row r="138" spans="1:20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</row>
    <row r="139" spans="1:20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</row>
    <row r="140" spans="1:2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</row>
    <row r="141" spans="1:20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</row>
    <row r="142" spans="1:20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</row>
    <row r="143" spans="1:20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</row>
    <row r="144" spans="1:20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</row>
    <row r="145" spans="1:20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</row>
    <row r="146" spans="1:20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</row>
    <row r="147" spans="1:20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</row>
    <row r="148" spans="1:20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</row>
    <row r="149" spans="1:20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</row>
    <row r="150" spans="1:2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</row>
    <row r="151" spans="1:20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</row>
    <row r="152" spans="1:20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</row>
    <row r="153" spans="1:20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</row>
    <row r="154" spans="1:20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</row>
    <row r="155" spans="1:20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</row>
    <row r="156" spans="1:20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</row>
    <row r="157" spans="1:20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</row>
    <row r="158" spans="1:20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</row>
    <row r="159" spans="1:20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</row>
    <row r="160" spans="1:2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</row>
    <row r="161" spans="1:20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</row>
    <row r="162" spans="1:20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</row>
    <row r="163" spans="1:20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</row>
    <row r="164" spans="1:20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</row>
    <row r="165" spans="1:20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</row>
    <row r="166" spans="1:20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</row>
    <row r="167" spans="1:20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</row>
    <row r="168" spans="1:20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  <row r="169" spans="1:20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</row>
    <row r="170" spans="1:2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</row>
    <row r="171" spans="1:20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</row>
    <row r="172" spans="1:20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</row>
    <row r="173" spans="1:20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</row>
    <row r="174" spans="1:20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</row>
    <row r="175" spans="1:20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</row>
    <row r="176" spans="1:20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</row>
    <row r="177" spans="1:20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</row>
    <row r="178" spans="1:20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</row>
    <row r="179" spans="1:20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</row>
    <row r="180" spans="1:2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</row>
    <row r="181" spans="1:20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</row>
    <row r="182" spans="1:20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</row>
    <row r="183" spans="1:20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</row>
    <row r="184" spans="1:20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</row>
    <row r="185" spans="1:20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</row>
    <row r="186" spans="1:20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</row>
    <row r="187" spans="1:20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</row>
    <row r="188" spans="1:20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</row>
    <row r="189" spans="1:20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</row>
    <row r="190" spans="1:2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</row>
    <row r="191" spans="1:20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</row>
    <row r="192" spans="1:20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</row>
    <row r="193" spans="1:20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</row>
    <row r="194" spans="1:20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</row>
    <row r="195" spans="1:20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</row>
    <row r="196" spans="1:20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</row>
    <row r="197" spans="1:20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</row>
    <row r="198" spans="1:20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</row>
    <row r="199" spans="1:20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</row>
    <row r="200" spans="1:2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</row>
    <row r="201" spans="1:20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</row>
    <row r="202" spans="1:20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</row>
    <row r="203" spans="1:20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</row>
    <row r="204" spans="1:20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</row>
    <row r="205" spans="1:20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</row>
    <row r="206" spans="1:20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</row>
    <row r="207" spans="1:20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</row>
    <row r="208" spans="1:20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</row>
    <row r="209" spans="1:20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</row>
    <row r="210" spans="1:2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</row>
    <row r="211" spans="1:20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</row>
    <row r="212" spans="1:20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</row>
    <row r="213" spans="1:20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</row>
    <row r="214" spans="1:20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</row>
    <row r="215" spans="1:20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</row>
    <row r="216" spans="1:20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</row>
    <row r="217" spans="1:20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</row>
    <row r="218" spans="1:20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</row>
    <row r="219" spans="1:20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</row>
    <row r="220" spans="1: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</row>
    <row r="221" spans="1:20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</row>
    <row r="222" spans="1:20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</row>
    <row r="223" spans="1:20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</row>
    <row r="224" spans="1:20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</row>
    <row r="225" spans="1:20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</row>
    <row r="226" spans="1:20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</row>
    <row r="227" spans="1:20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</row>
    <row r="228" spans="1:20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</row>
    <row r="229" spans="1:20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</row>
    <row r="230" spans="1:2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</row>
    <row r="231" spans="1:20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</row>
    <row r="232" spans="1:20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</row>
    <row r="233" spans="1:20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</row>
    <row r="234" spans="1:20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</row>
    <row r="235" spans="1:20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</row>
    <row r="236" spans="1:20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</row>
    <row r="237" spans="1:20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</row>
    <row r="238" spans="1:20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</row>
    <row r="239" spans="1:20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</row>
    <row r="240" spans="1:2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</row>
    <row r="241" spans="1:20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</row>
    <row r="242" spans="1:20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</row>
    <row r="243" spans="1:20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</row>
    <row r="244" spans="1:20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</row>
    <row r="245" spans="1:20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</row>
    <row r="246" spans="1:20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</row>
    <row r="247" spans="1:20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</row>
    <row r="248" spans="1:20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</row>
    <row r="249" spans="1:20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</row>
    <row r="250" spans="1:2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</row>
    <row r="251" spans="1:20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</row>
    <row r="252" spans="1:20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</row>
    <row r="253" spans="1:20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</row>
    <row r="254" spans="1:20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</row>
    <row r="255" spans="1:20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</row>
    <row r="256" spans="1:20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</row>
    <row r="257" spans="1:20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</row>
    <row r="258" spans="1:20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</row>
    <row r="259" spans="1:20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</row>
    <row r="260" spans="1:2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</row>
    <row r="261" spans="1:20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</row>
    <row r="262" spans="1:20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</row>
    <row r="263" spans="1:20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</row>
    <row r="264" spans="1:20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</row>
    <row r="265" spans="1:20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</row>
    <row r="266" spans="1:20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</row>
    <row r="267" spans="1:20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</row>
    <row r="268" spans="1:20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</row>
    <row r="269" spans="1:20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</row>
    <row r="270" spans="1:2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</row>
    <row r="271" spans="1:20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</row>
    <row r="272" spans="1:20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</row>
    <row r="273" spans="1:20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</row>
    <row r="274" spans="1:20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</row>
    <row r="275" spans="1:20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</row>
    <row r="276" spans="1:20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</row>
    <row r="277" spans="1:20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</row>
    <row r="278" spans="1:20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</row>
    <row r="279" spans="1:20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</row>
    <row r="280" spans="1:2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</row>
    <row r="281" spans="1:20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</row>
    <row r="282" spans="1:20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</row>
    <row r="283" spans="1:20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</row>
    <row r="284" spans="1:20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</row>
    <row r="285" spans="1:20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</row>
    <row r="286" spans="1:20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</row>
    <row r="287" spans="1:20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</row>
    <row r="288" spans="1:20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</row>
    <row r="289" spans="1:20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</row>
    <row r="290" spans="1:2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</row>
    <row r="291" spans="1:20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</row>
    <row r="292" spans="1:20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</row>
    <row r="293" spans="1:20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</row>
    <row r="294" spans="1:20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</row>
    <row r="295" spans="1:20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</row>
    <row r="296" spans="1:20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</row>
    <row r="297" spans="1:20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</row>
    <row r="298" spans="1:20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</row>
    <row r="299" spans="1:20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</row>
    <row r="300" spans="1:2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</row>
    <row r="301" spans="1:20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</row>
    <row r="302" spans="1:20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</row>
    <row r="303" spans="1:20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</row>
    <row r="304" spans="1:20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</row>
    <row r="305" spans="1:20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</row>
    <row r="306" spans="1:20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</row>
    <row r="307" spans="1:20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</row>
    <row r="308" spans="1:20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</row>
    <row r="309" spans="1:20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</row>
    <row r="310" spans="1:2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</row>
    <row r="311" spans="1:20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</row>
    <row r="312" spans="1:20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</row>
    <row r="313" spans="1:20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</row>
    <row r="314" spans="1:20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</row>
    <row r="315" spans="1:20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</row>
    <row r="316" spans="1:20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</row>
    <row r="317" spans="1:20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</row>
    <row r="318" spans="1:20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</row>
    <row r="319" spans="1:20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</row>
    <row r="320" spans="1: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</row>
    <row r="321" spans="1:20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</row>
    <row r="322" spans="1:20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</row>
    <row r="323" spans="1:20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</row>
    <row r="324" spans="1:20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</row>
    <row r="325" spans="1:20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</row>
    <row r="326" spans="1:20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</row>
    <row r="327" spans="1:20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</row>
    <row r="328" spans="1:20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</row>
    <row r="329" spans="1:20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</row>
    <row r="330" spans="1:2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</row>
    <row r="331" spans="1:20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</row>
    <row r="332" spans="1:20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</row>
    <row r="333" spans="1:20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</row>
    <row r="334" spans="1:20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</row>
    <row r="335" spans="1:20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</row>
    <row r="336" spans="1:20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</row>
    <row r="337" spans="1:20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</row>
    <row r="338" spans="1:20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</row>
    <row r="339" spans="1:20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</row>
    <row r="340" spans="1:2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</row>
    <row r="341" spans="1:20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</row>
    <row r="342" spans="1:20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</row>
    <row r="343" spans="1:20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</row>
    <row r="344" spans="1:20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</row>
    <row r="345" spans="1:20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</row>
    <row r="346" spans="1:20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</row>
    <row r="347" spans="1:20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</row>
    <row r="348" spans="1:20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</row>
    <row r="349" spans="1:20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</row>
    <row r="350" spans="1:2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</row>
    <row r="351" spans="1:20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</row>
    <row r="352" spans="1:20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</row>
    <row r="353" spans="1:20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</row>
    <row r="354" spans="1:20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</row>
    <row r="355" spans="1:20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</row>
    <row r="356" spans="1:20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</row>
    <row r="357" spans="1:20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</row>
    <row r="358" spans="1:20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</row>
    <row r="359" spans="1:20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</row>
    <row r="360" spans="1:2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</row>
    <row r="361" spans="1:20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</row>
    <row r="362" spans="1:20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</row>
    <row r="363" spans="1:20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</row>
    <row r="364" spans="1:20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</row>
    <row r="365" spans="1:20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</row>
    <row r="366" spans="1:20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</row>
    <row r="367" spans="1:20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</row>
    <row r="368" spans="1:20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</row>
    <row r="369" spans="1:20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</row>
    <row r="370" spans="1:2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</row>
    <row r="371" spans="1:20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</row>
    <row r="372" spans="1:20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</row>
    <row r="373" spans="1:20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</row>
    <row r="374" spans="1:20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</row>
    <row r="375" spans="1:20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</row>
    <row r="376" spans="1:20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</row>
    <row r="377" spans="1:20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</row>
    <row r="378" spans="1:20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</row>
    <row r="379" spans="1:20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</row>
    <row r="380" spans="1:2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</row>
    <row r="381" spans="1:20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</row>
    <row r="382" spans="1:20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</row>
    <row r="383" spans="1:20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</row>
    <row r="384" spans="1:20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</row>
    <row r="385" spans="1:20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</row>
    <row r="386" spans="1:20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</row>
    <row r="387" spans="1:20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</row>
    <row r="388" spans="1:20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</row>
    <row r="389" spans="1:20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</row>
    <row r="390" spans="1:2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</row>
    <row r="391" spans="1:20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</row>
    <row r="392" spans="1:20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</row>
    <row r="393" spans="1:20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</row>
    <row r="394" spans="1:20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</row>
    <row r="395" spans="1:20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</row>
    <row r="396" spans="1:20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</row>
    <row r="397" spans="1:20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</row>
    <row r="398" spans="1:20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</row>
    <row r="399" spans="1:20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</row>
    <row r="400" spans="1:2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</row>
    <row r="401" spans="1:20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</row>
    <row r="402" spans="1:20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</row>
    <row r="403" spans="1:20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</row>
    <row r="404" spans="1:20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</row>
    <row r="405" spans="1:20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</row>
    <row r="406" spans="1:20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</row>
    <row r="407" spans="1:20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</row>
    <row r="408" spans="1:20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</row>
    <row r="409" spans="1:20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</row>
    <row r="410" spans="1:2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</row>
    <row r="411" spans="1:20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</row>
    <row r="412" spans="1:20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</row>
    <row r="413" spans="1:20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</row>
    <row r="414" spans="1:20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</row>
    <row r="415" spans="1:20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</row>
    <row r="416" spans="1:20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</row>
    <row r="417" spans="1:20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</row>
    <row r="418" spans="1:20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</row>
    <row r="419" spans="1:20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</row>
    <row r="420" spans="1: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</row>
    <row r="421" spans="1:20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</row>
    <row r="422" spans="1:20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</row>
    <row r="423" spans="1:20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</row>
    <row r="424" spans="1:20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</row>
    <row r="425" spans="1:20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</row>
    <row r="426" spans="1:20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</row>
    <row r="427" spans="1:20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</row>
    <row r="428" spans="1:20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</row>
    <row r="429" spans="1:20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</row>
    <row r="430" spans="1:2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</row>
    <row r="431" spans="1:20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</row>
    <row r="432" spans="1:20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</row>
    <row r="433" spans="1:20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</row>
    <row r="434" spans="1:20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</row>
    <row r="435" spans="1:20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</row>
    <row r="436" spans="1:20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</row>
    <row r="437" spans="1:20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</row>
    <row r="438" spans="1:20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</row>
    <row r="439" spans="1:20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</row>
    <row r="440" spans="1:2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</row>
    <row r="441" spans="1:20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</row>
    <row r="442" spans="1:20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</row>
    <row r="443" spans="1:20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</row>
    <row r="444" spans="1:20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</row>
    <row r="445" spans="1:20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</row>
    <row r="446" spans="1:20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</row>
    <row r="447" spans="1:20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</row>
    <row r="448" spans="1:20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</row>
    <row r="449" spans="1:20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</row>
    <row r="450" spans="1:2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</row>
    <row r="451" spans="1:20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</row>
    <row r="452" spans="1:20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</row>
    <row r="453" spans="1:20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</row>
    <row r="454" spans="1:20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</row>
    <row r="455" spans="1:20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</row>
    <row r="456" spans="1:20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</row>
    <row r="457" spans="1:20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</row>
    <row r="458" spans="1:20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</row>
    <row r="459" spans="1:20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</row>
    <row r="460" spans="1:2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</row>
    <row r="461" spans="1:20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</row>
    <row r="462" spans="1:20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</row>
    <row r="463" spans="1:20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</row>
    <row r="464" spans="1:20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</row>
    <row r="465" spans="1:20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</row>
    <row r="466" spans="1:20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</row>
    <row r="467" spans="1:20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</row>
    <row r="468" spans="1:20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</row>
    <row r="469" spans="1:20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</row>
    <row r="470" spans="1:2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</row>
    <row r="471" spans="1:20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</row>
    <row r="472" spans="1:20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</row>
    <row r="473" spans="1:20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</row>
    <row r="474" spans="1:20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</row>
    <row r="475" spans="1:20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</row>
    <row r="476" spans="1:20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</row>
    <row r="477" spans="1:20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</row>
    <row r="478" spans="1:20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</row>
    <row r="479" spans="1:20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</row>
    <row r="480" spans="1:2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</row>
    <row r="481" spans="1:20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</row>
    <row r="482" spans="1:20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</row>
    <row r="483" spans="1:20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</row>
    <row r="484" spans="1:20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</row>
    <row r="485" spans="1:20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</row>
    <row r="486" spans="1:20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</row>
    <row r="487" spans="1:20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</row>
    <row r="488" spans="1:20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</row>
    <row r="489" spans="1:20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</row>
    <row r="490" spans="1:2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</row>
    <row r="491" spans="1:20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</row>
    <row r="492" spans="1:20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</row>
    <row r="493" spans="1:20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</row>
    <row r="494" spans="1:20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</row>
    <row r="495" spans="1:20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</row>
    <row r="496" spans="1:20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</row>
    <row r="497" spans="1:20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</row>
    <row r="498" spans="1:20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</row>
    <row r="499" spans="1:20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</row>
    <row r="500" spans="1:2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</row>
    <row r="501" spans="1:20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</row>
    <row r="502" spans="1:20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</row>
    <row r="503" spans="1:20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</row>
    <row r="504" spans="1:20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</row>
    <row r="505" spans="1:20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</row>
    <row r="506" spans="1:20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</row>
    <row r="507" spans="1:20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</row>
    <row r="508" spans="1:20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</row>
    <row r="509" spans="1:20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</row>
    <row r="510" spans="1:2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</row>
    <row r="511" spans="1:20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</row>
    <row r="512" spans="1:20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</row>
    <row r="513" spans="1:20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</row>
    <row r="514" spans="1:20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</row>
    <row r="515" spans="1:20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</row>
    <row r="516" spans="1:20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</row>
    <row r="517" spans="1:20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</row>
    <row r="518" spans="1:20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</row>
    <row r="519" spans="1:20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</row>
    <row r="520" spans="1: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</row>
    <row r="521" spans="1:20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</row>
    <row r="522" spans="1:20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</row>
    <row r="523" spans="1:20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</row>
    <row r="524" spans="1:20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</row>
    <row r="525" spans="1:20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</row>
    <row r="526" spans="1:20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</row>
    <row r="527" spans="1:20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</row>
    <row r="528" spans="1:20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</row>
    <row r="529" spans="1:20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</row>
    <row r="530" spans="1:2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</row>
    <row r="531" spans="1:20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</row>
    <row r="532" spans="1:20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</row>
    <row r="533" spans="1:20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</row>
    <row r="534" spans="1:20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</row>
    <row r="535" spans="1:20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</row>
    <row r="536" spans="1:20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</row>
    <row r="537" spans="1:20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</row>
    <row r="538" spans="1:20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</row>
    <row r="539" spans="1:20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</row>
    <row r="540" spans="1:2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</row>
    <row r="541" spans="1:20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</row>
    <row r="542" spans="1:20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</row>
    <row r="543" spans="1:20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</row>
    <row r="544" spans="1:20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</row>
    <row r="545" spans="1:20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</row>
    <row r="546" spans="1:20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</row>
    <row r="547" spans="1:20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</row>
    <row r="548" spans="1:20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</row>
    <row r="549" spans="1:20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</row>
    <row r="550" spans="1:2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</row>
    <row r="551" spans="1:20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</row>
    <row r="552" spans="1:20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</row>
    <row r="553" spans="1:20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</row>
    <row r="554" spans="1:20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</row>
    <row r="555" spans="1:20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</row>
    <row r="556" spans="1:20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</row>
    <row r="557" spans="1:20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</row>
    <row r="558" spans="1:20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</row>
    <row r="559" spans="1:20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</row>
    <row r="560" spans="1:2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</row>
    <row r="561" spans="1:20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</row>
    <row r="562" spans="1:20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</row>
    <row r="563" spans="1:20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</row>
    <row r="564" spans="1:20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</row>
    <row r="565" spans="1:20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</row>
    <row r="566" spans="1:20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</row>
    <row r="567" spans="1:20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</row>
    <row r="568" spans="1:20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</row>
    <row r="569" spans="1:20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</row>
    <row r="570" spans="1:2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</row>
    <row r="571" spans="1:20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</row>
    <row r="572" spans="1:20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</row>
    <row r="573" spans="1:20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</row>
    <row r="574" spans="1:20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</row>
    <row r="575" spans="1:20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</row>
    <row r="576" spans="1:20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</row>
    <row r="577" spans="1:20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</row>
    <row r="578" spans="1:20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</row>
    <row r="579" spans="1:20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</row>
    <row r="580" spans="1:2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</row>
    <row r="581" spans="1:20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</row>
    <row r="582" spans="1:20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</row>
    <row r="583" spans="1:20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</row>
    <row r="584" spans="1:20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</row>
    <row r="585" spans="1:20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</row>
    <row r="586" spans="1:20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</row>
    <row r="587" spans="1:20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</row>
    <row r="588" spans="1:20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</row>
    <row r="589" spans="1:20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</row>
    <row r="590" spans="1:2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</row>
    <row r="591" spans="1:20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</row>
    <row r="592" spans="1:20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</row>
    <row r="593" spans="1:20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</row>
    <row r="594" spans="1:20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</row>
    <row r="595" spans="1:20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</row>
    <row r="596" spans="1:20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</row>
    <row r="597" spans="1:20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</row>
    <row r="598" spans="1:20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</row>
    <row r="599" spans="1:20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</row>
    <row r="600" spans="1:2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</row>
    <row r="601" spans="1:20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</row>
    <row r="602" spans="1:20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</row>
    <row r="603" spans="1:20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</row>
    <row r="604" spans="1:20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</row>
    <row r="605" spans="1:20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</row>
    <row r="606" spans="1:20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</row>
    <row r="607" spans="1:20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</row>
    <row r="608" spans="1:20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</row>
    <row r="609" spans="1:20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</row>
    <row r="610" spans="1:2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</row>
    <row r="611" spans="1:20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</row>
    <row r="612" spans="1:20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</row>
    <row r="613" spans="1:20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</row>
    <row r="614" spans="1:20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</row>
    <row r="615" spans="1:20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</row>
    <row r="616" spans="1:20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</row>
    <row r="617" spans="1:20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</row>
    <row r="618" spans="1:20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</row>
    <row r="619" spans="1:20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</row>
    <row r="620" spans="1: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</row>
    <row r="621" spans="1:20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</row>
    <row r="622" spans="1:20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</row>
    <row r="623" spans="1:20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</row>
    <row r="624" spans="1:20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</row>
    <row r="625" spans="1:20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</row>
    <row r="626" spans="1:20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</row>
    <row r="627" spans="1:20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</row>
    <row r="628" spans="1:20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</row>
    <row r="629" spans="1:20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</row>
    <row r="630" spans="1:2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</row>
    <row r="631" spans="1:20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</row>
    <row r="632" spans="1:20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</row>
    <row r="633" spans="1:20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</row>
    <row r="634" spans="1:20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</row>
    <row r="635" spans="1:20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</row>
    <row r="636" spans="1:20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</row>
    <row r="637" spans="1:20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</row>
    <row r="638" spans="1:20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</row>
    <row r="639" spans="1:20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</row>
    <row r="640" spans="1:2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</row>
    <row r="641" spans="1:20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</row>
    <row r="642" spans="1:20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</row>
    <row r="643" spans="1:20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</row>
    <row r="644" spans="1:20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</row>
    <row r="645" spans="1:20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</row>
    <row r="646" spans="1:20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</row>
    <row r="647" spans="1:20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</row>
    <row r="648" spans="1:20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</row>
    <row r="649" spans="1:20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</row>
    <row r="650" spans="1:2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</row>
    <row r="651" spans="1:20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</row>
    <row r="652" spans="1:20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</row>
    <row r="653" spans="1:20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</row>
    <row r="654" spans="1:20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</row>
    <row r="655" spans="1:20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</row>
    <row r="656" spans="1:20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</row>
    <row r="657" spans="1:20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</row>
    <row r="658" spans="1:20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</row>
    <row r="659" spans="1:20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</row>
    <row r="660" spans="1:2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</row>
    <row r="661" spans="1:20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</row>
    <row r="662" spans="1:20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</row>
    <row r="663" spans="1:20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</row>
    <row r="664" spans="1:20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</row>
    <row r="665" spans="1:20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</row>
    <row r="666" spans="1:20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</row>
    <row r="667" spans="1:20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</row>
    <row r="668" spans="1:20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</row>
    <row r="669" spans="1:20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</row>
    <row r="670" spans="1:2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</row>
    <row r="671" spans="1:20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</row>
    <row r="672" spans="1:20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</row>
    <row r="673" spans="1:20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</row>
    <row r="674" spans="1:20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</row>
    <row r="675" spans="1:20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</row>
    <row r="676" spans="1:20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</row>
    <row r="677" spans="1:20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</row>
    <row r="678" spans="1:20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</row>
    <row r="679" spans="1:20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</row>
    <row r="680" spans="1:2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</row>
    <row r="681" spans="1:20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</row>
    <row r="682" spans="1:20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</row>
    <row r="683" spans="1:20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</row>
    <row r="684" spans="1:20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</row>
    <row r="685" spans="1:20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</row>
    <row r="686" spans="1:20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</row>
    <row r="687" spans="1:20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</row>
    <row r="688" spans="1:20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</row>
    <row r="689" spans="1:20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</row>
    <row r="690" spans="1:2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</row>
    <row r="691" spans="1:20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</row>
    <row r="692" spans="1:20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</row>
    <row r="693" spans="1:20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</row>
    <row r="694" spans="1:20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</row>
    <row r="695" spans="1:20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</row>
    <row r="696" spans="1:20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</row>
    <row r="697" spans="1:20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</row>
    <row r="698" spans="1:20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</row>
    <row r="699" spans="1:20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</row>
    <row r="700" spans="1:2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</row>
    <row r="701" spans="1:20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</row>
    <row r="702" spans="1:20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</row>
    <row r="703" spans="1:20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</row>
    <row r="704" spans="1:20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</row>
    <row r="705" spans="1:20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</row>
    <row r="706" spans="1:20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</row>
    <row r="707" spans="1:20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</row>
    <row r="708" spans="1:20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</row>
    <row r="709" spans="1:20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</row>
    <row r="710" spans="1:2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</row>
    <row r="711" spans="1:20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</row>
    <row r="712" spans="1:20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</row>
    <row r="713" spans="1:20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</row>
    <row r="714" spans="1:20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</row>
    <row r="715" spans="1:20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</row>
    <row r="716" spans="1:20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</row>
    <row r="717" spans="1:20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</row>
    <row r="718" spans="1:20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</row>
    <row r="719" spans="1:20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</row>
    <row r="720" spans="1: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</row>
    <row r="721" spans="1:20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</row>
    <row r="722" spans="1:20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</row>
    <row r="723" spans="1:20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</row>
    <row r="724" spans="1:20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</row>
    <row r="725" spans="1:20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</row>
    <row r="726" spans="1:20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</row>
    <row r="727" spans="1:20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</row>
    <row r="728" spans="1:20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</row>
    <row r="729" spans="1:20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</row>
    <row r="730" spans="1:2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</row>
    <row r="731" spans="1:20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</row>
    <row r="732" spans="1:20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</row>
    <row r="733" spans="1:20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</row>
    <row r="734" spans="1:20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</row>
    <row r="735" spans="1:20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</row>
    <row r="736" spans="1:20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</row>
    <row r="737" spans="1:20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</row>
    <row r="738" spans="1:20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</row>
    <row r="739" spans="1:20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</row>
    <row r="740" spans="1:2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</row>
    <row r="741" spans="1:20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</row>
    <row r="742" spans="1:20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</row>
    <row r="743" spans="1:20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</row>
    <row r="744" spans="1:20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</row>
    <row r="745" spans="1:20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</row>
    <row r="746" spans="1:20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</row>
    <row r="747" spans="1:20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</row>
    <row r="748" spans="1:20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</row>
    <row r="749" spans="1:20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</row>
    <row r="750" spans="1:2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</row>
    <row r="751" spans="1:20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</row>
    <row r="752" spans="1:20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</row>
    <row r="753" spans="1:20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</row>
    <row r="754" spans="1:20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</row>
    <row r="755" spans="1:20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</row>
    <row r="756" spans="1:20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</row>
    <row r="757" spans="1:20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</row>
    <row r="758" spans="1:20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</row>
    <row r="759" spans="1:20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</row>
    <row r="760" spans="1:2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</row>
    <row r="761" spans="1:20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</row>
    <row r="762" spans="1:20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</row>
    <row r="763" spans="1:20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</row>
    <row r="764" spans="1:20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</row>
    <row r="765" spans="1:20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</row>
    <row r="766" spans="1:20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</row>
    <row r="767" spans="1:20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</row>
    <row r="768" spans="1:20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</row>
    <row r="769" spans="1:20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</row>
    <row r="770" spans="1:2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</row>
    <row r="771" spans="1:20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</row>
    <row r="772" spans="1:20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</row>
    <row r="773" spans="1:20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</row>
    <row r="774" spans="1:20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</row>
    <row r="775" spans="1:20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</row>
    <row r="776" spans="1:20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</row>
    <row r="777" spans="1:20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</row>
    <row r="778" spans="1:20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</row>
    <row r="779" spans="1:20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</row>
    <row r="780" spans="1:2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</row>
    <row r="781" spans="1:20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</row>
    <row r="782" spans="1:20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</row>
    <row r="783" spans="1:20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</row>
    <row r="784" spans="1:20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</row>
    <row r="785" spans="1:20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</row>
    <row r="786" spans="1:20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</row>
    <row r="787" spans="1:20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</row>
    <row r="788" spans="1:20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</row>
    <row r="789" spans="1:20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</row>
    <row r="790" spans="1:2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</row>
    <row r="791" spans="1:20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</row>
    <row r="792" spans="1:20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</row>
    <row r="793" spans="1:20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</row>
    <row r="794" spans="1:20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</row>
    <row r="795" spans="1:20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</row>
    <row r="796" spans="1:20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</row>
    <row r="797" spans="1:20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</row>
    <row r="798" spans="1:20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</row>
    <row r="799" spans="1:20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</row>
    <row r="800" spans="1:2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</row>
    <row r="801" spans="1:20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</row>
    <row r="802" spans="1:20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</row>
    <row r="803" spans="1:20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</row>
    <row r="804" spans="1:20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</row>
    <row r="805" spans="1:20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</row>
    <row r="806" spans="1:20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</row>
    <row r="807" spans="1:20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</row>
    <row r="808" spans="1:20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</row>
    <row r="809" spans="1:20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</row>
    <row r="810" spans="1:2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</row>
    <row r="811" spans="1:20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</row>
    <row r="812" spans="1:20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</row>
    <row r="813" spans="1:20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</row>
    <row r="814" spans="1:20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</row>
    <row r="815" spans="1:20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</row>
    <row r="816" spans="1:20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</row>
    <row r="817" spans="1:20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</row>
    <row r="818" spans="1:20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</row>
    <row r="819" spans="1:20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</row>
    <row r="820" spans="1: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</row>
    <row r="821" spans="1:20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</row>
    <row r="822" spans="1:20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</row>
    <row r="823" spans="1:20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</row>
    <row r="824" spans="1:20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</row>
    <row r="825" spans="1:20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</row>
    <row r="826" spans="1:20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</row>
    <row r="827" spans="1:20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</row>
    <row r="828" spans="1:20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</row>
    <row r="829" spans="1:20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</row>
    <row r="830" spans="1:2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</row>
    <row r="831" spans="1:20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</row>
    <row r="832" spans="1:20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</row>
    <row r="833" spans="1:20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</row>
    <row r="834" spans="1:20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</row>
    <row r="835" spans="1:20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</row>
    <row r="836" spans="1:20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</row>
    <row r="837" spans="1:20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</row>
    <row r="838" spans="1:20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</row>
    <row r="839" spans="1:20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</row>
    <row r="840" spans="1:2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</row>
    <row r="841" spans="1:20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</row>
    <row r="842" spans="1:20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</row>
    <row r="843" spans="1:20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</row>
    <row r="844" spans="1:20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</row>
    <row r="845" spans="1:20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</row>
    <row r="846" spans="1:20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</row>
    <row r="847" spans="1:20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</row>
    <row r="848" spans="1:20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</row>
    <row r="849" spans="1:20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</row>
    <row r="850" spans="1:2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</row>
    <row r="851" spans="1:20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</row>
    <row r="852" spans="1:20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</row>
    <row r="853" spans="1:20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</row>
    <row r="854" spans="1:20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</row>
    <row r="855" spans="1:20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</row>
    <row r="856" spans="1:20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</row>
    <row r="857" spans="1:20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</row>
    <row r="858" spans="1:20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</row>
    <row r="859" spans="1:20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</row>
    <row r="860" spans="1:2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</row>
    <row r="861" spans="1:20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</row>
    <row r="862" spans="1:20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</row>
    <row r="863" spans="1:20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</row>
    <row r="864" spans="1:20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</row>
    <row r="865" spans="1:20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</row>
    <row r="866" spans="1:20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</row>
    <row r="867" spans="1:20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</row>
    <row r="868" spans="1:20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</row>
    <row r="869" spans="1:20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</row>
    <row r="870" spans="1:2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</row>
    <row r="871" spans="1:20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</row>
    <row r="872" spans="1:20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</row>
    <row r="873" spans="1:20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</row>
    <row r="874" spans="1:20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</row>
    <row r="875" spans="1:20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</row>
    <row r="876" spans="1:20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</row>
    <row r="877" spans="1:20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</row>
    <row r="878" spans="1:20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</row>
    <row r="879" spans="1:20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</row>
    <row r="880" spans="1:2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</row>
    <row r="881" spans="1:20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</row>
    <row r="882" spans="1:20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</row>
    <row r="883" spans="1:20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</row>
    <row r="884" spans="1:20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</row>
    <row r="885" spans="1:20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</row>
    <row r="886" spans="1:20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</row>
    <row r="887" spans="1:20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</row>
    <row r="888" spans="1:20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</row>
    <row r="889" spans="1:20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</row>
    <row r="890" spans="1:2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</row>
    <row r="891" spans="1:20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</row>
    <row r="892" spans="1:20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</row>
    <row r="893" spans="1:20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</row>
    <row r="894" spans="1:20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</row>
    <row r="895" spans="1:20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</row>
    <row r="896" spans="1:20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</row>
    <row r="897" spans="1:20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</row>
    <row r="898" spans="1:20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</row>
    <row r="899" spans="1:20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</row>
    <row r="900" spans="1:2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</row>
    <row r="901" spans="1:20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</row>
    <row r="902" spans="1:20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</row>
    <row r="903" spans="1:20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</row>
    <row r="904" spans="1:20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</row>
    <row r="905" spans="1:20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</row>
    <row r="906" spans="1:20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</row>
    <row r="907" spans="1:20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</row>
    <row r="908" spans="1:20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</row>
    <row r="909" spans="1:20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</row>
    <row r="910" spans="1:2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</row>
    <row r="911" spans="1:20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</row>
    <row r="912" spans="1:20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</row>
    <row r="913" spans="1:20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</row>
    <row r="914" spans="1:20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</row>
    <row r="915" spans="1:20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</row>
    <row r="916" spans="1:20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</row>
    <row r="917" spans="1:20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</row>
    <row r="918" spans="1:20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</row>
    <row r="919" spans="1:20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</row>
    <row r="920" spans="1: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</row>
    <row r="921" spans="1:20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</row>
    <row r="922" spans="1:20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</row>
    <row r="923" spans="1:20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</row>
    <row r="924" spans="1:20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</row>
    <row r="925" spans="1:20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</row>
    <row r="926" spans="1:20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</row>
    <row r="927" spans="1:20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</row>
    <row r="928" spans="1:20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</row>
    <row r="929" spans="1:20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</row>
    <row r="930" spans="1:2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</row>
    <row r="931" spans="1:20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</row>
    <row r="932" spans="1:20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</row>
    <row r="933" spans="1:20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</row>
    <row r="934" spans="1:20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</row>
    <row r="935" spans="1:20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</row>
    <row r="936" spans="1:20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</row>
    <row r="937" spans="1:20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</row>
    <row r="938" spans="1:20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</row>
    <row r="939" spans="1:20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</row>
    <row r="940" spans="1:2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</row>
    <row r="941" spans="1:20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</row>
    <row r="942" spans="1:20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</row>
    <row r="943" spans="1:20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</row>
    <row r="944" spans="1:20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</row>
    <row r="945" spans="1:20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</row>
    <row r="946" spans="1:20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</row>
    <row r="947" spans="1:20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</row>
    <row r="948" spans="1:20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</row>
    <row r="949" spans="1:20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</row>
    <row r="950" spans="1:2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</row>
    <row r="951" spans="1:20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</row>
    <row r="952" spans="1:20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</row>
    <row r="953" spans="1:20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</row>
    <row r="954" spans="1:20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</row>
    <row r="955" spans="1:20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</row>
    <row r="956" spans="1:20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</row>
    <row r="957" spans="1:20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</row>
    <row r="958" spans="1:20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</row>
    <row r="959" spans="1:20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</row>
    <row r="960" spans="1:2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</row>
    <row r="961" spans="1:20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</row>
    <row r="962" spans="1:20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</row>
    <row r="963" spans="1:20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</row>
    <row r="964" spans="1:20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</row>
    <row r="965" spans="1:20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</row>
    <row r="966" spans="1:20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</row>
    <row r="967" spans="1:20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</row>
    <row r="968" spans="1:20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</row>
    <row r="969" spans="1:20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</row>
    <row r="970" spans="1:2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</row>
    <row r="971" spans="1:20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</row>
    <row r="972" spans="1:20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</row>
    <row r="973" spans="1:20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</row>
    <row r="974" spans="1:20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</row>
    <row r="975" spans="1:20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</row>
    <row r="976" spans="1:20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</row>
    <row r="977" spans="1:20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</row>
    <row r="978" spans="1:20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</row>
    <row r="979" spans="1:20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</row>
    <row r="980" spans="1:2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</row>
    <row r="981" spans="1:20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</row>
    <row r="982" spans="1:20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</row>
    <row r="983" spans="1:20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</row>
    <row r="984" spans="1:20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</row>
    <row r="985" spans="1:20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</row>
    <row r="986" spans="1:20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</row>
    <row r="987" spans="1:20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</row>
    <row r="988" spans="1:20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</row>
    <row r="989" spans="1:20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</row>
    <row r="990" spans="1:2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</row>
    <row r="991" spans="1:20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</row>
    <row r="992" spans="1:20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</row>
    <row r="993" spans="1:20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</row>
    <row r="994" spans="1:20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</row>
    <row r="995" spans="1:20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</row>
    <row r="996" spans="1:20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</row>
    <row r="997" spans="1:20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</row>
    <row r="998" spans="1:20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</row>
    <row r="999" spans="1:20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</row>
    <row r="1000" spans="1:20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>
    <outlinePr summaryBelow="0" summaryRight="0"/>
  </sheetPr>
  <dimension ref="A1:T1000"/>
  <sheetViews>
    <sheetView workbookViewId="0"/>
  </sheetViews>
  <sheetFormatPr baseColWidth="10" defaultColWidth="11.1640625" defaultRowHeight="15" customHeight="1"/>
  <sheetData>
    <row r="1" spans="1:20">
      <c r="A1" s="5" t="str">
        <f ca="1">IFERROR(__xludf.DUMMYFUNCTION("IMPORTRANGE(""https://docs.google.com/spreadsheets/d/1iZosbKi1BwFbCuygLj4QWJ7-lI_YkQaaeEo_ji6_TwI/edit?gid=1402997126#gid=1402997126"",""PRESIDENCIA 24-25!A1:T"")"),"DEPENDENCIA")</f>
        <v>DEPENDENCIA</v>
      </c>
      <c r="B1" s="5" t="str">
        <f ca="1">IFERROR(__xludf.DUMMYFUNCTION("""COMPUTED_VALUE"""),"PRESIDENCIA")</f>
        <v>PRESIDENCIA</v>
      </c>
      <c r="C1" s="5"/>
      <c r="D1" s="5"/>
      <c r="E1" s="5" t="str">
        <f ca="1">IFERROR(__xludf.DUMMYFUNCTION("""COMPUTED_VALUE"""),"PERIODO")</f>
        <v>PERIODO</v>
      </c>
      <c r="F1" s="5" t="str">
        <f ca="1">IFERROR(__xludf.DUMMYFUNCTION("""COMPUTED_VALUE"""),"OCTUBRE 2024 - SEPTIEMBRE 2025")</f>
        <v>OCTUBRE 2024 - SEPTIEMBRE 2025</v>
      </c>
      <c r="G1" s="5"/>
      <c r="H1" s="5" t="str">
        <f ca="1">IFERROR(__xludf.DUMMYFUNCTION("""COMPUTED_VALUE"""),"SISTEMA MUNICIPAL DE GESTION DE RESULTADOS")</f>
        <v>SISTEMA MUNICIPAL DE GESTION DE RESULTADOS</v>
      </c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</row>
    <row r="2" spans="1:20">
      <c r="A2" s="5" t="str">
        <f ca="1">IFERROR(__xludf.DUMMYFUNCTION("""COMPUTED_VALUE"""),"DEPARTAMENTO")</f>
        <v>DEPARTAMENTO</v>
      </c>
      <c r="B2" s="5" t="str">
        <f ca="1">IFERROR(__xludf.DUMMYFUNCTION("""COMPUTED_VALUE"""),"INDICADORES")</f>
        <v>INDICADORES</v>
      </c>
      <c r="C2" s="5" t="str">
        <f ca="1">IFERROR(__xludf.DUMMYFUNCTION("""COMPUTED_VALUE"""),"META ANUAL")</f>
        <v>META ANUAL</v>
      </c>
      <c r="D2" s="5" t="str">
        <f ca="1">IFERROR(__xludf.DUMMYFUNCTION("""COMPUTED_VALUE"""),"UNIDAD DE MEDIDA")</f>
        <v>UNIDAD DE MEDIDA</v>
      </c>
      <c r="E2" s="5" t="str">
        <f ca="1">IFERROR(__xludf.DUMMYFUNCTION("""COMPUTED_VALUE"""),"TIPO DE INDICADOR")</f>
        <v>TIPO DE INDICADOR</v>
      </c>
      <c r="F2" s="5" t="str">
        <f ca="1">IFERROR(__xludf.DUMMYFUNCTION("""COMPUTED_VALUE"""),"MEDIO DE VERIFICACION")</f>
        <v>MEDIO DE VERIFICACION</v>
      </c>
      <c r="G2" s="5" t="str">
        <f ca="1">IFERROR(__xludf.DUMMYFUNCTION("""COMPUTED_VALUE"""),"% AVANCE ")</f>
        <v xml:space="preserve">% AVANCE </v>
      </c>
      <c r="H2" s="5" t="str">
        <f ca="1">IFERROR(__xludf.DUMMYFUNCTION("""COMPUTED_VALUE"""),"OCTUBRE")</f>
        <v>OCTUBRE</v>
      </c>
      <c r="I2" s="5" t="str">
        <f ca="1">IFERROR(__xludf.DUMMYFUNCTION("""COMPUTED_VALUE"""),"NOVIEMBRE")</f>
        <v>NOVIEMBRE</v>
      </c>
      <c r="J2" s="5" t="str">
        <f ca="1">IFERROR(__xludf.DUMMYFUNCTION("""COMPUTED_VALUE"""),"DICIEMBRE")</f>
        <v>DICIEMBRE</v>
      </c>
      <c r="K2" s="5" t="str">
        <f ca="1">IFERROR(__xludf.DUMMYFUNCTION("""COMPUTED_VALUE"""),"ENERO")</f>
        <v>ENERO</v>
      </c>
      <c r="L2" s="5" t="str">
        <f ca="1">IFERROR(__xludf.DUMMYFUNCTION("""COMPUTED_VALUE"""),"FEBRERO")</f>
        <v>FEBRERO</v>
      </c>
      <c r="M2" s="5" t="str">
        <f ca="1">IFERROR(__xludf.DUMMYFUNCTION("""COMPUTED_VALUE"""),"MARZO")</f>
        <v>MARZO</v>
      </c>
      <c r="N2" s="5" t="str">
        <f ca="1">IFERROR(__xludf.DUMMYFUNCTION("""COMPUTED_VALUE"""),"ABRIL")</f>
        <v>ABRIL</v>
      </c>
      <c r="O2" s="5" t="str">
        <f ca="1">IFERROR(__xludf.DUMMYFUNCTION("""COMPUTED_VALUE"""),"MAYO")</f>
        <v>MAYO</v>
      </c>
      <c r="P2" s="5" t="str">
        <f ca="1">IFERROR(__xludf.DUMMYFUNCTION("""COMPUTED_VALUE"""),"JUNIO")</f>
        <v>JUNIO</v>
      </c>
      <c r="Q2" s="5" t="str">
        <f ca="1">IFERROR(__xludf.DUMMYFUNCTION("""COMPUTED_VALUE"""),"JULIO")</f>
        <v>JULIO</v>
      </c>
      <c r="R2" s="5" t="str">
        <f ca="1">IFERROR(__xludf.DUMMYFUNCTION("""COMPUTED_VALUE"""),"AGOSTO")</f>
        <v>AGOSTO</v>
      </c>
      <c r="S2" s="5" t="str">
        <f ca="1">IFERROR(__xludf.DUMMYFUNCTION("""COMPUTED_VALUE"""),"SEPTIEMBRE")</f>
        <v>SEPTIEMBRE</v>
      </c>
      <c r="T2" s="5" t="str">
        <f ca="1">IFERROR(__xludf.DUMMYFUNCTION("""COMPUTED_VALUE"""),"SUMATORIA TOTAL")</f>
        <v>SUMATORIA TOTAL</v>
      </c>
    </row>
    <row r="3" spans="1:20">
      <c r="A3" s="5" t="str">
        <f ca="1">IFERROR(__xludf.DUMMYFUNCTION("""COMPUTED_VALUE"""),"PRESIDENCIA")</f>
        <v>PRESIDENCIA</v>
      </c>
      <c r="B3" s="5" t="str">
        <f ca="1">IFERROR(__xludf.DUMMYFUNCTION("""COMPUTED_VALUE"""),"CITAS AGENDADAS")</f>
        <v>CITAS AGENDADAS</v>
      </c>
      <c r="C3" s="5">
        <f ca="1">IFERROR(__xludf.DUMMYFUNCTION("""COMPUTED_VALUE"""),310)</f>
        <v>310</v>
      </c>
      <c r="D3" s="5" t="str">
        <f ca="1">IFERROR(__xludf.DUMMYFUNCTION("""COMPUTED_VALUE"""),"CITA")</f>
        <v>CITA</v>
      </c>
      <c r="E3" s="5" t="str">
        <f ca="1">IFERROR(__xludf.DUMMYFUNCTION("""COMPUTED_VALUE"""),"ASCENDENTE")</f>
        <v>ASCENDENTE</v>
      </c>
      <c r="F3" s="5" t="str">
        <f ca="1">IFERROR(__xludf.DUMMYFUNCTION("""COMPUTED_VALUE"""),"BITACORA DE ATENCION")</f>
        <v>BITACORA DE ATENCION</v>
      </c>
      <c r="G3" s="5">
        <f ca="1">IFERROR(__xludf.DUMMYFUNCTION("""COMPUTED_VALUE"""),98.3870967741935)</f>
        <v>98.387096774193495</v>
      </c>
      <c r="H3" s="5">
        <f ca="1">IFERROR(__xludf.DUMMYFUNCTION("""COMPUTED_VALUE"""),20)</f>
        <v>20</v>
      </c>
      <c r="I3" s="5">
        <f ca="1">IFERROR(__xludf.DUMMYFUNCTION("""COMPUTED_VALUE"""),33)</f>
        <v>33</v>
      </c>
      <c r="J3" s="5">
        <f ca="1">IFERROR(__xludf.DUMMYFUNCTION("""COMPUTED_VALUE"""),27)</f>
        <v>27</v>
      </c>
      <c r="K3" s="5">
        <f ca="1">IFERROR(__xludf.DUMMYFUNCTION("""COMPUTED_VALUE"""),30)</f>
        <v>30</v>
      </c>
      <c r="L3" s="5">
        <f ca="1">IFERROR(__xludf.DUMMYFUNCTION("""COMPUTED_VALUE"""),22)</f>
        <v>22</v>
      </c>
      <c r="M3" s="5">
        <f ca="1">IFERROR(__xludf.DUMMYFUNCTION("""COMPUTED_VALUE"""),23)</f>
        <v>23</v>
      </c>
      <c r="N3" s="5">
        <f ca="1">IFERROR(__xludf.DUMMYFUNCTION("""COMPUTED_VALUE"""),17)</f>
        <v>17</v>
      </c>
      <c r="O3" s="5">
        <f ca="1">IFERROR(__xludf.DUMMYFUNCTION("""COMPUTED_VALUE"""),54)</f>
        <v>54</v>
      </c>
      <c r="P3" s="5">
        <f ca="1">IFERROR(__xludf.DUMMYFUNCTION("""COMPUTED_VALUE"""),19)</f>
        <v>19</v>
      </c>
      <c r="Q3" s="5">
        <f ca="1">IFERROR(__xludf.DUMMYFUNCTION("""COMPUTED_VALUE"""),60)</f>
        <v>60</v>
      </c>
      <c r="R3" s="5">
        <f ca="1">IFERROR(__xludf.DUMMYFUNCTION("""COMPUTED_VALUE"""),0)</f>
        <v>0</v>
      </c>
      <c r="S3" s="5">
        <f ca="1">IFERROR(__xludf.DUMMYFUNCTION("""COMPUTED_VALUE"""),0)</f>
        <v>0</v>
      </c>
      <c r="T3" s="5">
        <f ca="1">IFERROR(__xludf.DUMMYFUNCTION("""COMPUTED_VALUE"""),305)</f>
        <v>305</v>
      </c>
    </row>
    <row r="4" spans="1:20">
      <c r="A4" s="5"/>
      <c r="B4" s="5" t="str">
        <f ca="1">IFERROR(__xludf.DUMMYFUNCTION("""COMPUTED_VALUE"""),"PERSONAS ATENDIDAS")</f>
        <v>PERSONAS ATENDIDAS</v>
      </c>
      <c r="C4" s="5">
        <f ca="1">IFERROR(__xludf.DUMMYFUNCTION("""COMPUTED_VALUE"""),890)</f>
        <v>890</v>
      </c>
      <c r="D4" s="5" t="str">
        <f ca="1">IFERROR(__xludf.DUMMYFUNCTION("""COMPUTED_VALUE"""),"NÚM. DE PERSONAS")</f>
        <v>NÚM. DE PERSONAS</v>
      </c>
      <c r="E4" s="5" t="str">
        <f ca="1">IFERROR(__xludf.DUMMYFUNCTION("""COMPUTED_VALUE"""),"ASCENDENTE")</f>
        <v>ASCENDENTE</v>
      </c>
      <c r="F4" s="5" t="str">
        <f ca="1">IFERROR(__xludf.DUMMYFUNCTION("""COMPUTED_VALUE"""),"BITACORA DE ATENCION")</f>
        <v>BITACORA DE ATENCION</v>
      </c>
      <c r="G4" s="5">
        <f ca="1">IFERROR(__xludf.DUMMYFUNCTION("""COMPUTED_VALUE"""),97.3033707865168)</f>
        <v>97.303370786516794</v>
      </c>
      <c r="H4" s="5">
        <f ca="1">IFERROR(__xludf.DUMMYFUNCTION("""COMPUTED_VALUE"""),45)</f>
        <v>45</v>
      </c>
      <c r="I4" s="5">
        <f ca="1">IFERROR(__xludf.DUMMYFUNCTION("""COMPUTED_VALUE"""),80)</f>
        <v>80</v>
      </c>
      <c r="J4" s="5">
        <f ca="1">IFERROR(__xludf.DUMMYFUNCTION("""COMPUTED_VALUE"""),60)</f>
        <v>60</v>
      </c>
      <c r="K4" s="5">
        <f ca="1">IFERROR(__xludf.DUMMYFUNCTION("""COMPUTED_VALUE"""),50)</f>
        <v>50</v>
      </c>
      <c r="L4" s="5">
        <f ca="1">IFERROR(__xludf.DUMMYFUNCTION("""COMPUTED_VALUE"""),52)</f>
        <v>52</v>
      </c>
      <c r="M4" s="5">
        <f ca="1">IFERROR(__xludf.DUMMYFUNCTION("""COMPUTED_VALUE"""),42)</f>
        <v>42</v>
      </c>
      <c r="N4" s="5">
        <f ca="1">IFERROR(__xludf.DUMMYFUNCTION("""COMPUTED_VALUE"""),58)</f>
        <v>58</v>
      </c>
      <c r="O4" s="5">
        <f ca="1">IFERROR(__xludf.DUMMYFUNCTION("""COMPUTED_VALUE"""),201)</f>
        <v>201</v>
      </c>
      <c r="P4" s="5">
        <f ca="1">IFERROR(__xludf.DUMMYFUNCTION("""COMPUTED_VALUE"""),38)</f>
        <v>38</v>
      </c>
      <c r="Q4" s="5">
        <f ca="1">IFERROR(__xludf.DUMMYFUNCTION("""COMPUTED_VALUE"""),240)</f>
        <v>240</v>
      </c>
      <c r="R4" s="5">
        <f ca="1">IFERROR(__xludf.DUMMYFUNCTION("""COMPUTED_VALUE"""),0)</f>
        <v>0</v>
      </c>
      <c r="S4" s="5">
        <f ca="1">IFERROR(__xludf.DUMMYFUNCTION("""COMPUTED_VALUE"""),0)</f>
        <v>0</v>
      </c>
      <c r="T4" s="5">
        <f ca="1">IFERROR(__xludf.DUMMYFUNCTION("""COMPUTED_VALUE"""),866)</f>
        <v>866</v>
      </c>
    </row>
    <row r="5" spans="1:20">
      <c r="A5" s="5" t="str">
        <f ca="1">IFERROR(__xludf.DUMMYFUNCTION("""COMPUTED_VALUE"""),"ASUNTOS DEL INTERIOR")</f>
        <v>ASUNTOS DEL INTERIOR</v>
      </c>
      <c r="B5" s="5" t="str">
        <f ca="1">IFERROR(__xludf.DUMMYFUNCTION("""COMPUTED_VALUE"""),"PERSONAS ATENDIDAS")</f>
        <v>PERSONAS ATENDIDAS</v>
      </c>
      <c r="C5" s="5">
        <f ca="1">IFERROR(__xludf.DUMMYFUNCTION("""COMPUTED_VALUE"""),250)</f>
        <v>250</v>
      </c>
      <c r="D5" s="5" t="str">
        <f ca="1">IFERROR(__xludf.DUMMYFUNCTION("""COMPUTED_VALUE"""),"NUM. PERSONAS")</f>
        <v>NUM. PERSONAS</v>
      </c>
      <c r="E5" s="5" t="str">
        <f ca="1">IFERROR(__xludf.DUMMYFUNCTION("""COMPUTED_VALUE"""),"ASCENDENTE")</f>
        <v>ASCENDENTE</v>
      </c>
      <c r="F5" s="5" t="str">
        <f ca="1">IFERROR(__xludf.DUMMYFUNCTION("""COMPUTED_VALUE"""),"BITACORA DE ATENCION")</f>
        <v>BITACORA DE ATENCION</v>
      </c>
      <c r="G5" s="5">
        <f ca="1">IFERROR(__xludf.DUMMYFUNCTION("""COMPUTED_VALUE"""),90.8)</f>
        <v>90.8</v>
      </c>
      <c r="H5" s="5">
        <f ca="1">IFERROR(__xludf.DUMMYFUNCTION("""COMPUTED_VALUE"""),20)</f>
        <v>20</v>
      </c>
      <c r="I5" s="5">
        <f ca="1">IFERROR(__xludf.DUMMYFUNCTION("""COMPUTED_VALUE"""),22)</f>
        <v>22</v>
      </c>
      <c r="J5" s="5">
        <f ca="1">IFERROR(__xludf.DUMMYFUNCTION("""COMPUTED_VALUE"""),15)</f>
        <v>15</v>
      </c>
      <c r="K5" s="5">
        <f ca="1">IFERROR(__xludf.DUMMYFUNCTION("""COMPUTED_VALUE"""),25)</f>
        <v>25</v>
      </c>
      <c r="L5" s="5">
        <f ca="1">IFERROR(__xludf.DUMMYFUNCTION("""COMPUTED_VALUE"""),31)</f>
        <v>31</v>
      </c>
      <c r="M5" s="5">
        <f ca="1">IFERROR(__xludf.DUMMYFUNCTION("""COMPUTED_VALUE"""),25)</f>
        <v>25</v>
      </c>
      <c r="N5" s="5">
        <f ca="1">IFERROR(__xludf.DUMMYFUNCTION("""COMPUTED_VALUE"""),34)</f>
        <v>34</v>
      </c>
      <c r="O5" s="5">
        <f ca="1">IFERROR(__xludf.DUMMYFUNCTION("""COMPUTED_VALUE"""),35)</f>
        <v>35</v>
      </c>
      <c r="P5" s="5">
        <f ca="1">IFERROR(__xludf.DUMMYFUNCTION("""COMPUTED_VALUE"""),20)</f>
        <v>20</v>
      </c>
      <c r="Q5" s="5">
        <f ca="1">IFERROR(__xludf.DUMMYFUNCTION("""COMPUTED_VALUE"""),0)</f>
        <v>0</v>
      </c>
      <c r="R5" s="5">
        <f ca="1">IFERROR(__xludf.DUMMYFUNCTION("""COMPUTED_VALUE"""),0)</f>
        <v>0</v>
      </c>
      <c r="S5" s="5">
        <f ca="1">IFERROR(__xludf.DUMMYFUNCTION("""COMPUTED_VALUE"""),0)</f>
        <v>0</v>
      </c>
      <c r="T5" s="5">
        <f ca="1">IFERROR(__xludf.DUMMYFUNCTION("""COMPUTED_VALUE"""),227)</f>
        <v>227</v>
      </c>
    </row>
    <row r="6" spans="1:20">
      <c r="A6" s="5"/>
      <c r="B6" s="5" t="str">
        <f ca="1">IFERROR(__xludf.DUMMYFUNCTION("""COMPUTED_VALUE"""),"ACUERDOS ")</f>
        <v xml:space="preserve">ACUERDOS </v>
      </c>
      <c r="C6" s="5">
        <f ca="1">IFERROR(__xludf.DUMMYFUNCTION("""COMPUTED_VALUE"""),85)</f>
        <v>85</v>
      </c>
      <c r="D6" s="5" t="str">
        <f ca="1">IFERROR(__xludf.DUMMYFUNCTION("""COMPUTED_VALUE"""),"NÚM. ACUERDOS")</f>
        <v>NÚM. ACUERDOS</v>
      </c>
      <c r="E6" s="5" t="str">
        <f ca="1">IFERROR(__xludf.DUMMYFUNCTION("""COMPUTED_VALUE"""),"ASCENDENTE")</f>
        <v>ASCENDENTE</v>
      </c>
      <c r="F6" s="5" t="str">
        <f ca="1">IFERROR(__xludf.DUMMYFUNCTION("""COMPUTED_VALUE"""),"MINUTA DE REUNION")</f>
        <v>MINUTA DE REUNION</v>
      </c>
      <c r="G6" s="5">
        <f ca="1">IFERROR(__xludf.DUMMYFUNCTION("""COMPUTED_VALUE"""),88.235294117647)</f>
        <v>88.235294117647001</v>
      </c>
      <c r="H6" s="5">
        <f ca="1">IFERROR(__xludf.DUMMYFUNCTION("""COMPUTED_VALUE"""),15)</f>
        <v>15</v>
      </c>
      <c r="I6" s="5">
        <f ca="1">IFERROR(__xludf.DUMMYFUNCTION("""COMPUTED_VALUE"""),8)</f>
        <v>8</v>
      </c>
      <c r="J6" s="5">
        <f ca="1">IFERROR(__xludf.DUMMYFUNCTION("""COMPUTED_VALUE"""),5)</f>
        <v>5</v>
      </c>
      <c r="K6" s="5">
        <f ca="1">IFERROR(__xludf.DUMMYFUNCTION("""COMPUTED_VALUE"""),8)</f>
        <v>8</v>
      </c>
      <c r="L6" s="5">
        <f ca="1">IFERROR(__xludf.DUMMYFUNCTION("""COMPUTED_VALUE"""),4)</f>
        <v>4</v>
      </c>
      <c r="M6" s="5">
        <f ca="1">IFERROR(__xludf.DUMMYFUNCTION("""COMPUTED_VALUE"""),6)</f>
        <v>6</v>
      </c>
      <c r="N6" s="5">
        <f ca="1">IFERROR(__xludf.DUMMYFUNCTION("""COMPUTED_VALUE"""),12)</f>
        <v>12</v>
      </c>
      <c r="O6" s="5">
        <f ca="1">IFERROR(__xludf.DUMMYFUNCTION("""COMPUTED_VALUE"""),11)</f>
        <v>11</v>
      </c>
      <c r="P6" s="5">
        <f ca="1">IFERROR(__xludf.DUMMYFUNCTION("""COMPUTED_VALUE"""),6)</f>
        <v>6</v>
      </c>
      <c r="Q6" s="5">
        <f ca="1">IFERROR(__xludf.DUMMYFUNCTION("""COMPUTED_VALUE"""),0)</f>
        <v>0</v>
      </c>
      <c r="R6" s="5">
        <f ca="1">IFERROR(__xludf.DUMMYFUNCTION("""COMPUTED_VALUE"""),0)</f>
        <v>0</v>
      </c>
      <c r="S6" s="5">
        <f ca="1">IFERROR(__xludf.DUMMYFUNCTION("""COMPUTED_VALUE"""),0)</f>
        <v>0</v>
      </c>
      <c r="T6" s="5">
        <f ca="1">IFERROR(__xludf.DUMMYFUNCTION("""COMPUTED_VALUE"""),75)</f>
        <v>75</v>
      </c>
    </row>
    <row r="7" spans="1:20">
      <c r="A7" s="5" t="str">
        <f ca="1">IFERROR(__xludf.DUMMYFUNCTION("""COMPUTED_VALUE"""),"TRANSPARENCIA")</f>
        <v>TRANSPARENCIA</v>
      </c>
      <c r="B7" s="5" t="str">
        <f ca="1">IFERROR(__xludf.DUMMYFUNCTION("""COMPUTED_VALUE"""),"SOLICITUDES DE INFORMACION ATENDIDAS")</f>
        <v>SOLICITUDES DE INFORMACION ATENDIDAS</v>
      </c>
      <c r="C7" s="5">
        <f ca="1">IFERROR(__xludf.DUMMYFUNCTION("""COMPUTED_VALUE"""),490)</f>
        <v>490</v>
      </c>
      <c r="D7" s="5" t="str">
        <f ca="1">IFERROR(__xludf.DUMMYFUNCTION("""COMPUTED_VALUE"""),"NÚM. DE SOLICITUDES")</f>
        <v>NÚM. DE SOLICITUDES</v>
      </c>
      <c r="E7" s="5" t="str">
        <f ca="1">IFERROR(__xludf.DUMMYFUNCTION("""COMPUTED_VALUE"""),"ASCENDENTE")</f>
        <v>ASCENDENTE</v>
      </c>
      <c r="F7" s="5" t="str">
        <f ca="1">IFERROR(__xludf.DUMMYFUNCTION("""COMPUTED_VALUE"""),"PNT")</f>
        <v>PNT</v>
      </c>
      <c r="G7" s="5">
        <f ca="1">IFERROR(__xludf.DUMMYFUNCTION("""COMPUTED_VALUE"""),84.8979591836734)</f>
        <v>84.897959183673393</v>
      </c>
      <c r="H7" s="5">
        <f ca="1">IFERROR(__xludf.DUMMYFUNCTION("""COMPUTED_VALUE"""),41)</f>
        <v>41</v>
      </c>
      <c r="I7" s="5">
        <f ca="1">IFERROR(__xludf.DUMMYFUNCTION("""COMPUTED_VALUE"""),60)</f>
        <v>60</v>
      </c>
      <c r="J7" s="5">
        <f ca="1">IFERROR(__xludf.DUMMYFUNCTION("""COMPUTED_VALUE"""),39)</f>
        <v>39</v>
      </c>
      <c r="K7" s="5">
        <f ca="1">IFERROR(__xludf.DUMMYFUNCTION("""COMPUTED_VALUE"""),52)</f>
        <v>52</v>
      </c>
      <c r="L7" s="5">
        <f ca="1">IFERROR(__xludf.DUMMYFUNCTION("""COMPUTED_VALUE"""),56)</f>
        <v>56</v>
      </c>
      <c r="M7" s="5">
        <f ca="1">IFERROR(__xludf.DUMMYFUNCTION("""COMPUTED_VALUE"""),63)</f>
        <v>63</v>
      </c>
      <c r="N7" s="5">
        <f ca="1">IFERROR(__xludf.DUMMYFUNCTION("""COMPUTED_VALUE"""),30)</f>
        <v>30</v>
      </c>
      <c r="O7" s="5">
        <f ca="1">IFERROR(__xludf.DUMMYFUNCTION("""COMPUTED_VALUE"""),42)</f>
        <v>42</v>
      </c>
      <c r="P7" s="5">
        <f ca="1">IFERROR(__xludf.DUMMYFUNCTION("""COMPUTED_VALUE"""),33)</f>
        <v>33</v>
      </c>
      <c r="Q7" s="5">
        <f ca="1">IFERROR(__xludf.DUMMYFUNCTION("""COMPUTED_VALUE"""),0)</f>
        <v>0</v>
      </c>
      <c r="R7" s="5">
        <f ca="1">IFERROR(__xludf.DUMMYFUNCTION("""COMPUTED_VALUE"""),0)</f>
        <v>0</v>
      </c>
      <c r="S7" s="5">
        <f ca="1">IFERROR(__xludf.DUMMYFUNCTION("""COMPUTED_VALUE"""),0)</f>
        <v>0</v>
      </c>
      <c r="T7" s="5">
        <f ca="1">IFERROR(__xludf.DUMMYFUNCTION("""COMPUTED_VALUE"""),416)</f>
        <v>416</v>
      </c>
    </row>
    <row r="8" spans="1:20">
      <c r="A8" s="5"/>
      <c r="B8" s="5" t="str">
        <f ca="1">IFERROR(__xludf.DUMMYFUNCTION("""COMPUTED_VALUE"""),"CAPACITACIONES TRANSPARENCIA")</f>
        <v>CAPACITACIONES TRANSPARENCIA</v>
      </c>
      <c r="C8" s="5">
        <f ca="1">IFERROR(__xludf.DUMMYFUNCTION("""COMPUTED_VALUE"""),12)</f>
        <v>12</v>
      </c>
      <c r="D8" s="5" t="str">
        <f ca="1">IFERROR(__xludf.DUMMYFUNCTION("""COMPUTED_VALUE"""),"NÚM. DE CAPACITACIONES")</f>
        <v>NÚM. DE CAPACITACIONES</v>
      </c>
      <c r="E8" s="5" t="str">
        <f ca="1">IFERROR(__xludf.DUMMYFUNCTION("""COMPUTED_VALUE"""),"ASCENDENTE")</f>
        <v>ASCENDENTE</v>
      </c>
      <c r="F8" s="5" t="str">
        <f ca="1">IFERROR(__xludf.DUMMYFUNCTION("""COMPUTED_VALUE"""),"PROGRAMA ANUAL DE CAPACITACIONES")</f>
        <v>PROGRAMA ANUAL DE CAPACITACIONES</v>
      </c>
      <c r="G8" s="5">
        <f ca="1">IFERROR(__xludf.DUMMYFUNCTION("""COMPUTED_VALUE"""),83.3333333333333)</f>
        <v>83.3333333333333</v>
      </c>
      <c r="H8" s="5">
        <f ca="1">IFERROR(__xludf.DUMMYFUNCTION("""COMPUTED_VALUE"""),1)</f>
        <v>1</v>
      </c>
      <c r="I8" s="5">
        <f ca="1">IFERROR(__xludf.DUMMYFUNCTION("""COMPUTED_VALUE"""),1)</f>
        <v>1</v>
      </c>
      <c r="J8" s="5">
        <f ca="1">IFERROR(__xludf.DUMMYFUNCTION("""COMPUTED_VALUE"""),1)</f>
        <v>1</v>
      </c>
      <c r="K8" s="5">
        <f ca="1">IFERROR(__xludf.DUMMYFUNCTION("""COMPUTED_VALUE"""),1)</f>
        <v>1</v>
      </c>
      <c r="L8" s="5">
        <f ca="1">IFERROR(__xludf.DUMMYFUNCTION("""COMPUTED_VALUE"""),1)</f>
        <v>1</v>
      </c>
      <c r="M8" s="5">
        <f ca="1">IFERROR(__xludf.DUMMYFUNCTION("""COMPUTED_VALUE"""),1)</f>
        <v>1</v>
      </c>
      <c r="N8" s="5">
        <f ca="1">IFERROR(__xludf.DUMMYFUNCTION("""COMPUTED_VALUE"""),1)</f>
        <v>1</v>
      </c>
      <c r="O8" s="5">
        <f ca="1">IFERROR(__xludf.DUMMYFUNCTION("""COMPUTED_VALUE"""),2)</f>
        <v>2</v>
      </c>
      <c r="P8" s="5">
        <f ca="1">IFERROR(__xludf.DUMMYFUNCTION("""COMPUTED_VALUE"""),1)</f>
        <v>1</v>
      </c>
      <c r="Q8" s="5">
        <f ca="1">IFERROR(__xludf.DUMMYFUNCTION("""COMPUTED_VALUE"""),0)</f>
        <v>0</v>
      </c>
      <c r="R8" s="5">
        <f ca="1">IFERROR(__xludf.DUMMYFUNCTION("""COMPUTED_VALUE"""),0)</f>
        <v>0</v>
      </c>
      <c r="S8" s="5">
        <f ca="1">IFERROR(__xludf.DUMMYFUNCTION("""COMPUTED_VALUE"""),0)</f>
        <v>0</v>
      </c>
      <c r="T8" s="5">
        <f ca="1">IFERROR(__xludf.DUMMYFUNCTION("""COMPUTED_VALUE"""),10)</f>
        <v>10</v>
      </c>
    </row>
    <row r="9" spans="1:20">
      <c r="A9" s="5" t="str">
        <f ca="1">IFERROR(__xludf.DUMMYFUNCTION("""COMPUTED_VALUE"""),"COMUNICACIÓN SOCIAL")</f>
        <v>COMUNICACIÓN SOCIAL</v>
      </c>
      <c r="B9" s="5" t="str">
        <f ca="1">IFERROR(__xludf.DUMMYFUNCTION("""COMPUTED_VALUE"""),"NOTAS (COBERTURA DE EVENTOS)")</f>
        <v>NOTAS (COBERTURA DE EVENTOS)</v>
      </c>
      <c r="C9" s="5">
        <f ca="1">IFERROR(__xludf.DUMMYFUNCTION("""COMPUTED_VALUE"""),430)</f>
        <v>430</v>
      </c>
      <c r="D9" s="5" t="str">
        <f ca="1">IFERROR(__xludf.DUMMYFUNCTION("""COMPUTED_VALUE"""),"NÚM. DE NOTAS PUBLICADAS")</f>
        <v>NÚM. DE NOTAS PUBLICADAS</v>
      </c>
      <c r="E9" s="5" t="str">
        <f ca="1">IFERROR(__xludf.DUMMYFUNCTION("""COMPUTED_VALUE"""),"ASCENDENTE")</f>
        <v>ASCENDENTE</v>
      </c>
      <c r="F9" s="5" t="str">
        <f ca="1">IFERROR(__xludf.DUMMYFUNCTION("""COMPUTED_VALUE"""),"BITACORA OPERATIVA")</f>
        <v>BITACORA OPERATIVA</v>
      </c>
      <c r="G9" s="5">
        <f ca="1">IFERROR(__xludf.DUMMYFUNCTION("""COMPUTED_VALUE"""),87.4418604651162)</f>
        <v>87.441860465116207</v>
      </c>
      <c r="H9" s="5">
        <f ca="1">IFERROR(__xludf.DUMMYFUNCTION("""COMPUTED_VALUE"""),35)</f>
        <v>35</v>
      </c>
      <c r="I9" s="5">
        <f ca="1">IFERROR(__xludf.DUMMYFUNCTION("""COMPUTED_VALUE"""),42)</f>
        <v>42</v>
      </c>
      <c r="J9" s="5">
        <f ca="1">IFERROR(__xludf.DUMMYFUNCTION("""COMPUTED_VALUE"""),39)</f>
        <v>39</v>
      </c>
      <c r="K9" s="5">
        <f ca="1">IFERROR(__xludf.DUMMYFUNCTION("""COMPUTED_VALUE"""),39)</f>
        <v>39</v>
      </c>
      <c r="L9" s="5">
        <f ca="1">IFERROR(__xludf.DUMMYFUNCTION("""COMPUTED_VALUE"""),48)</f>
        <v>48</v>
      </c>
      <c r="M9" s="5">
        <f ca="1">IFERROR(__xludf.DUMMYFUNCTION("""COMPUTED_VALUE"""),38)</f>
        <v>38</v>
      </c>
      <c r="N9" s="5">
        <f ca="1">IFERROR(__xludf.DUMMYFUNCTION("""COMPUTED_VALUE"""),37)</f>
        <v>37</v>
      </c>
      <c r="O9" s="5">
        <f ca="1">IFERROR(__xludf.DUMMYFUNCTION("""COMPUTED_VALUE"""),45)</f>
        <v>45</v>
      </c>
      <c r="P9" s="5">
        <f ca="1">IFERROR(__xludf.DUMMYFUNCTION("""COMPUTED_VALUE"""),53)</f>
        <v>53</v>
      </c>
      <c r="Q9" s="5">
        <f ca="1">IFERROR(__xludf.DUMMYFUNCTION("""COMPUTED_VALUE"""),0)</f>
        <v>0</v>
      </c>
      <c r="R9" s="5">
        <f ca="1">IFERROR(__xludf.DUMMYFUNCTION("""COMPUTED_VALUE"""),0)</f>
        <v>0</v>
      </c>
      <c r="S9" s="5">
        <f ca="1">IFERROR(__xludf.DUMMYFUNCTION("""COMPUTED_VALUE"""),0)</f>
        <v>0</v>
      </c>
      <c r="T9" s="5">
        <f ca="1">IFERROR(__xludf.DUMMYFUNCTION("""COMPUTED_VALUE"""),376)</f>
        <v>376</v>
      </c>
    </row>
    <row r="10" spans="1:20">
      <c r="A10" s="5"/>
      <c r="B10" s="5" t="str">
        <f ca="1">IFERROR(__xludf.DUMMYFUNCTION("""COMPUTED_VALUE"""),"DISEÑOS")</f>
        <v>DISEÑOS</v>
      </c>
      <c r="C10" s="5">
        <f ca="1">IFERROR(__xludf.DUMMYFUNCTION("""COMPUTED_VALUE"""),950)</f>
        <v>950</v>
      </c>
      <c r="D10" s="5" t="str">
        <f ca="1">IFERROR(__xludf.DUMMYFUNCTION("""COMPUTED_VALUE"""),"NÚM. DE DISEÑOS REALIZADOS")</f>
        <v>NÚM. DE DISEÑOS REALIZADOS</v>
      </c>
      <c r="E10" s="5" t="str">
        <f ca="1">IFERROR(__xludf.DUMMYFUNCTION("""COMPUTED_VALUE"""),"ASCENDENTE")</f>
        <v>ASCENDENTE</v>
      </c>
      <c r="F10" s="5" t="str">
        <f ca="1">IFERROR(__xludf.DUMMYFUNCTION("""COMPUTED_VALUE"""),"BITACORA OPERATIVA")</f>
        <v>BITACORA OPERATIVA</v>
      </c>
      <c r="G10" s="5">
        <f ca="1">IFERROR(__xludf.DUMMYFUNCTION("""COMPUTED_VALUE"""),89.6842105263158)</f>
        <v>89.684210526315795</v>
      </c>
      <c r="H10" s="5">
        <f ca="1">IFERROR(__xludf.DUMMYFUNCTION("""COMPUTED_VALUE"""),50)</f>
        <v>50</v>
      </c>
      <c r="I10" s="5">
        <f ca="1">IFERROR(__xludf.DUMMYFUNCTION("""COMPUTED_VALUE"""),72)</f>
        <v>72</v>
      </c>
      <c r="J10" s="5">
        <f ca="1">IFERROR(__xludf.DUMMYFUNCTION("""COMPUTED_VALUE"""),69)</f>
        <v>69</v>
      </c>
      <c r="K10" s="5">
        <f ca="1">IFERROR(__xludf.DUMMYFUNCTION("""COMPUTED_VALUE"""),172)</f>
        <v>172</v>
      </c>
      <c r="L10" s="5">
        <f ca="1">IFERROR(__xludf.DUMMYFUNCTION("""COMPUTED_VALUE"""),140)</f>
        <v>140</v>
      </c>
      <c r="M10" s="5">
        <f ca="1">IFERROR(__xludf.DUMMYFUNCTION("""COMPUTED_VALUE"""),142)</f>
        <v>142</v>
      </c>
      <c r="N10" s="5">
        <f ca="1">IFERROR(__xludf.DUMMYFUNCTION("""COMPUTED_VALUE"""),76)</f>
        <v>76</v>
      </c>
      <c r="O10" s="5">
        <f ca="1">IFERROR(__xludf.DUMMYFUNCTION("""COMPUTED_VALUE"""),58)</f>
        <v>58</v>
      </c>
      <c r="P10" s="5">
        <f ca="1">IFERROR(__xludf.DUMMYFUNCTION("""COMPUTED_VALUE"""),73)</f>
        <v>73</v>
      </c>
      <c r="Q10" s="5">
        <f ca="1">IFERROR(__xludf.DUMMYFUNCTION("""COMPUTED_VALUE"""),0)</f>
        <v>0</v>
      </c>
      <c r="R10" s="5">
        <f ca="1">IFERROR(__xludf.DUMMYFUNCTION("""COMPUTED_VALUE"""),0)</f>
        <v>0</v>
      </c>
      <c r="S10" s="5">
        <f ca="1">IFERROR(__xludf.DUMMYFUNCTION("""COMPUTED_VALUE"""),0)</f>
        <v>0</v>
      </c>
      <c r="T10" s="5">
        <f ca="1">IFERROR(__xludf.DUMMYFUNCTION("""COMPUTED_VALUE"""),852)</f>
        <v>852</v>
      </c>
    </row>
    <row r="11" spans="1:20">
      <c r="A11" s="5"/>
      <c r="B11" s="5" t="str">
        <f ca="1">IFERROR(__xludf.DUMMYFUNCTION("""COMPUTED_VALUE"""),"PUBLICACIONES")</f>
        <v>PUBLICACIONES</v>
      </c>
      <c r="C11" s="5">
        <f ca="1">IFERROR(__xludf.DUMMYFUNCTION("""COMPUTED_VALUE"""),1100)</f>
        <v>1100</v>
      </c>
      <c r="D11" s="5" t="str">
        <f ca="1">IFERROR(__xludf.DUMMYFUNCTION("""COMPUTED_VALUE"""),"NÚM. DE PUBLICCIONES")</f>
        <v>NÚM. DE PUBLICCIONES</v>
      </c>
      <c r="E11" s="5" t="str">
        <f ca="1">IFERROR(__xludf.DUMMYFUNCTION("""COMPUTED_VALUE"""),"ASCENDENTE")</f>
        <v>ASCENDENTE</v>
      </c>
      <c r="F11" s="5" t="str">
        <f ca="1">IFERROR(__xludf.DUMMYFUNCTION("""COMPUTED_VALUE"""),"BITACORA OPERATIVA")</f>
        <v>BITACORA OPERATIVA</v>
      </c>
      <c r="G11" s="5">
        <f ca="1">IFERROR(__xludf.DUMMYFUNCTION("""COMPUTED_VALUE"""),89.3636363636363)</f>
        <v>89.363636363636303</v>
      </c>
      <c r="H11" s="5">
        <f ca="1">IFERROR(__xludf.DUMMYFUNCTION("""COMPUTED_VALUE"""),114)</f>
        <v>114</v>
      </c>
      <c r="I11" s="5">
        <f ca="1">IFERROR(__xludf.DUMMYFUNCTION("""COMPUTED_VALUE"""),150)</f>
        <v>150</v>
      </c>
      <c r="J11" s="5">
        <f ca="1">IFERROR(__xludf.DUMMYFUNCTION("""COMPUTED_VALUE"""),163)</f>
        <v>163</v>
      </c>
      <c r="K11" s="5">
        <f ca="1">IFERROR(__xludf.DUMMYFUNCTION("""COMPUTED_VALUE"""),1)</f>
        <v>1</v>
      </c>
      <c r="L11" s="5">
        <f ca="1">IFERROR(__xludf.DUMMYFUNCTION("""COMPUTED_VALUE"""),2)</f>
        <v>2</v>
      </c>
      <c r="M11" s="5">
        <f ca="1">IFERROR(__xludf.DUMMYFUNCTION("""COMPUTED_VALUE"""),2)</f>
        <v>2</v>
      </c>
      <c r="N11" s="5">
        <f ca="1">IFERROR(__xludf.DUMMYFUNCTION("""COMPUTED_VALUE"""),155)</f>
        <v>155</v>
      </c>
      <c r="O11" s="5">
        <f ca="1">IFERROR(__xludf.DUMMYFUNCTION("""COMPUTED_VALUE"""),207)</f>
        <v>207</v>
      </c>
      <c r="P11" s="5">
        <f ca="1">IFERROR(__xludf.DUMMYFUNCTION("""COMPUTED_VALUE"""),189)</f>
        <v>189</v>
      </c>
      <c r="Q11" s="5">
        <f ca="1">IFERROR(__xludf.DUMMYFUNCTION("""COMPUTED_VALUE"""),0)</f>
        <v>0</v>
      </c>
      <c r="R11" s="5">
        <f ca="1">IFERROR(__xludf.DUMMYFUNCTION("""COMPUTED_VALUE"""),0)</f>
        <v>0</v>
      </c>
      <c r="S11" s="5">
        <f ca="1">IFERROR(__xludf.DUMMYFUNCTION("""COMPUTED_VALUE"""),0)</f>
        <v>0</v>
      </c>
      <c r="T11" s="5">
        <f ca="1">IFERROR(__xludf.DUMMYFUNCTION("""COMPUTED_VALUE"""),983)</f>
        <v>983</v>
      </c>
    </row>
    <row r="12" spans="1:20">
      <c r="A12" s="5" t="str">
        <f ca="1">IFERROR(__xludf.DUMMYFUNCTION("""COMPUTED_VALUE"""),"GESTION DE PROYECTOS")</f>
        <v>GESTION DE PROYECTOS</v>
      </c>
      <c r="B12" s="5" t="str">
        <f ca="1">IFERROR(__xludf.DUMMYFUNCTION("""COMPUTED_VALUE"""),"PROGRAMAS IMPLEMENTADOS")</f>
        <v>PROGRAMAS IMPLEMENTADOS</v>
      </c>
      <c r="C12" s="5">
        <f ca="1">IFERROR(__xludf.DUMMYFUNCTION("""COMPUTED_VALUE"""),23)</f>
        <v>23</v>
      </c>
      <c r="D12" s="5" t="str">
        <f ca="1">IFERROR(__xludf.DUMMYFUNCTION("""COMPUTED_VALUE"""),"NÚM. DE PROGRAMAS IMPLEMENTADOS")</f>
        <v>NÚM. DE PROGRAMAS IMPLEMENTADOS</v>
      </c>
      <c r="E12" s="5" t="str">
        <f ca="1">IFERROR(__xludf.DUMMYFUNCTION("""COMPUTED_VALUE"""),"ASCENDENTE")</f>
        <v>ASCENDENTE</v>
      </c>
      <c r="F12" s="5" t="str">
        <f ca="1">IFERROR(__xludf.DUMMYFUNCTION("""COMPUTED_VALUE"""),"PADRON UNICO DE BENEFICIADOS")</f>
        <v>PADRON UNICO DE BENEFICIADOS</v>
      </c>
      <c r="G12" s="5">
        <f ca="1">IFERROR(__xludf.DUMMYFUNCTION("""COMPUTED_VALUE"""),91.3043478260869)</f>
        <v>91.304347826086897</v>
      </c>
      <c r="H12" s="5">
        <f ca="1">IFERROR(__xludf.DUMMYFUNCTION("""COMPUTED_VALUE"""),0)</f>
        <v>0</v>
      </c>
      <c r="I12" s="5">
        <f ca="1">IFERROR(__xludf.DUMMYFUNCTION("""COMPUTED_VALUE"""),0)</f>
        <v>0</v>
      </c>
      <c r="J12" s="5">
        <f ca="1">IFERROR(__xludf.DUMMYFUNCTION("""COMPUTED_VALUE"""),0)</f>
        <v>0</v>
      </c>
      <c r="K12" s="5">
        <f ca="1">IFERROR(__xludf.DUMMYFUNCTION("""COMPUTED_VALUE"""),2)</f>
        <v>2</v>
      </c>
      <c r="L12" s="5">
        <f ca="1">IFERROR(__xludf.DUMMYFUNCTION("""COMPUTED_VALUE"""),3)</f>
        <v>3</v>
      </c>
      <c r="M12" s="5">
        <f ca="1">IFERROR(__xludf.DUMMYFUNCTION("""COMPUTED_VALUE"""),2)</f>
        <v>2</v>
      </c>
      <c r="N12" s="5">
        <f ca="1">IFERROR(__xludf.DUMMYFUNCTION("""COMPUTED_VALUE"""),3)</f>
        <v>3</v>
      </c>
      <c r="O12" s="5">
        <f ca="1">IFERROR(__xludf.DUMMYFUNCTION("""COMPUTED_VALUE"""),5)</f>
        <v>5</v>
      </c>
      <c r="P12" s="5">
        <f ca="1">IFERROR(__xludf.DUMMYFUNCTION("""COMPUTED_VALUE"""),3)</f>
        <v>3</v>
      </c>
      <c r="Q12" s="5">
        <f ca="1">IFERROR(__xludf.DUMMYFUNCTION("""COMPUTED_VALUE"""),3)</f>
        <v>3</v>
      </c>
      <c r="R12" s="5">
        <f ca="1">IFERROR(__xludf.DUMMYFUNCTION("""COMPUTED_VALUE"""),0)</f>
        <v>0</v>
      </c>
      <c r="S12" s="5">
        <f ca="1">IFERROR(__xludf.DUMMYFUNCTION("""COMPUTED_VALUE"""),0)</f>
        <v>0</v>
      </c>
      <c r="T12" s="5">
        <f ca="1">IFERROR(__xludf.DUMMYFUNCTION("""COMPUTED_VALUE"""),21)</f>
        <v>21</v>
      </c>
    </row>
    <row r="13" spans="1:20">
      <c r="A13" s="5"/>
      <c r="B13" s="5" t="str">
        <f ca="1">IFERROR(__xludf.DUMMYFUNCTION("""COMPUTED_VALUE"""),"PERSONAS BENEFICIADAS")</f>
        <v>PERSONAS BENEFICIADAS</v>
      </c>
      <c r="C13" s="5">
        <f ca="1">IFERROR(__xludf.DUMMYFUNCTION("""COMPUTED_VALUE"""),2150)</f>
        <v>2150</v>
      </c>
      <c r="D13" s="5" t="str">
        <f ca="1">IFERROR(__xludf.DUMMYFUNCTION("""COMPUTED_VALUE"""),"NUM. PERSONAS")</f>
        <v>NUM. PERSONAS</v>
      </c>
      <c r="E13" s="5" t="str">
        <f ca="1">IFERROR(__xludf.DUMMYFUNCTION("""COMPUTED_VALUE"""),"ASCENDENTE")</f>
        <v>ASCENDENTE</v>
      </c>
      <c r="F13" s="5" t="str">
        <f ca="1">IFERROR(__xludf.DUMMYFUNCTION("""COMPUTED_VALUE"""),"PADRON UNICO DE BENEFICIADOS")</f>
        <v>PADRON UNICO DE BENEFICIADOS</v>
      </c>
      <c r="G13" s="5">
        <f ca="1">IFERROR(__xludf.DUMMYFUNCTION("""COMPUTED_VALUE"""),91.0232558139534)</f>
        <v>91.023255813953398</v>
      </c>
      <c r="H13" s="5">
        <f ca="1">IFERROR(__xludf.DUMMYFUNCTION("""COMPUTED_VALUE"""),0)</f>
        <v>0</v>
      </c>
      <c r="I13" s="5">
        <f ca="1">IFERROR(__xludf.DUMMYFUNCTION("""COMPUTED_VALUE"""),0)</f>
        <v>0</v>
      </c>
      <c r="J13" s="5">
        <f ca="1">IFERROR(__xludf.DUMMYFUNCTION("""COMPUTED_VALUE"""),0)</f>
        <v>0</v>
      </c>
      <c r="K13" s="5">
        <f ca="1">IFERROR(__xludf.DUMMYFUNCTION("""COMPUTED_VALUE"""),255)</f>
        <v>255</v>
      </c>
      <c r="L13" s="5">
        <f ca="1">IFERROR(__xludf.DUMMYFUNCTION("""COMPUTED_VALUE"""),272)</f>
        <v>272</v>
      </c>
      <c r="M13" s="5">
        <f ca="1">IFERROR(__xludf.DUMMYFUNCTION("""COMPUTED_VALUE"""),350)</f>
        <v>350</v>
      </c>
      <c r="N13" s="5">
        <f ca="1">IFERROR(__xludf.DUMMYFUNCTION("""COMPUTED_VALUE"""),253)</f>
        <v>253</v>
      </c>
      <c r="O13" s="5">
        <f ca="1">IFERROR(__xludf.DUMMYFUNCTION("""COMPUTED_VALUE"""),326)</f>
        <v>326</v>
      </c>
      <c r="P13" s="5">
        <f ca="1">IFERROR(__xludf.DUMMYFUNCTION("""COMPUTED_VALUE"""),250)</f>
        <v>250</v>
      </c>
      <c r="Q13" s="5">
        <f ca="1">IFERROR(__xludf.DUMMYFUNCTION("""COMPUTED_VALUE"""),251)</f>
        <v>251</v>
      </c>
      <c r="R13" s="5">
        <f ca="1">IFERROR(__xludf.DUMMYFUNCTION("""COMPUTED_VALUE"""),0)</f>
        <v>0</v>
      </c>
      <c r="S13" s="5">
        <f ca="1">IFERROR(__xludf.DUMMYFUNCTION("""COMPUTED_VALUE"""),0)</f>
        <v>0</v>
      </c>
      <c r="T13" s="5">
        <f ca="1">IFERROR(__xludf.DUMMYFUNCTION("""COMPUTED_VALUE"""),1957)</f>
        <v>1957</v>
      </c>
    </row>
    <row r="14" spans="1:20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</row>
    <row r="15" spans="1:20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</row>
    <row r="16" spans="1:20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</row>
    <row r="17" spans="1:20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</row>
    <row r="18" spans="1:20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</row>
    <row r="19" spans="1:20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</row>
    <row r="20" spans="1:20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</row>
    <row r="21" spans="1:20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</row>
    <row r="22" spans="1:20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</row>
    <row r="23" spans="1:20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</row>
    <row r="24" spans="1:20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</row>
    <row r="25" spans="1:20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</row>
    <row r="26" spans="1:20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</row>
    <row r="27" spans="1:20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</row>
    <row r="28" spans="1:20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</row>
    <row r="29" spans="1:20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</row>
    <row r="30" spans="1:20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</row>
    <row r="31" spans="1:20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</row>
    <row r="32" spans="1:20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</row>
    <row r="33" spans="1:20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</row>
    <row r="34" spans="1:20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20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</row>
    <row r="36" spans="1:20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0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</row>
    <row r="38" spans="1:20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</row>
    <row r="39" spans="1:20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</row>
    <row r="40" spans="1:20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</row>
    <row r="41" spans="1:20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</row>
    <row r="42" spans="1:20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</row>
    <row r="43" spans="1:20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0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0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0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</row>
    <row r="47" spans="1:20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</row>
    <row r="48" spans="1:20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</row>
    <row r="49" spans="1:20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</row>
    <row r="50" spans="1:2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</row>
    <row r="51" spans="1:20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</row>
    <row r="52" spans="1:20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0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0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0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0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0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0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0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0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0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0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0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0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</row>
    <row r="83" spans="1:20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</row>
    <row r="84" spans="1:20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</row>
    <row r="85" spans="1:20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</row>
    <row r="86" spans="1:20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</row>
    <row r="87" spans="1:20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</row>
    <row r="88" spans="1:20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</row>
    <row r="89" spans="1:20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</row>
    <row r="90" spans="1:2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</row>
    <row r="91" spans="1:20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</row>
    <row r="92" spans="1:20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</row>
    <row r="93" spans="1:20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</row>
    <row r="94" spans="1:20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</row>
    <row r="95" spans="1:20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</row>
    <row r="96" spans="1:20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</row>
    <row r="97" spans="1:20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</row>
    <row r="98" spans="1:20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</row>
    <row r="99" spans="1:20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</row>
    <row r="100" spans="1:2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</row>
    <row r="101" spans="1:20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</row>
    <row r="102" spans="1:20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</row>
    <row r="103" spans="1:20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</row>
    <row r="104" spans="1:20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</row>
    <row r="105" spans="1:20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</row>
    <row r="106" spans="1:20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</row>
    <row r="107" spans="1:20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</row>
    <row r="108" spans="1:20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</row>
    <row r="109" spans="1:20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</row>
    <row r="110" spans="1:2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</row>
    <row r="111" spans="1:20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</row>
    <row r="112" spans="1:20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</row>
    <row r="113" spans="1:20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</row>
    <row r="114" spans="1:20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</row>
    <row r="115" spans="1:20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</row>
    <row r="116" spans="1:20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</row>
    <row r="117" spans="1:20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</row>
    <row r="118" spans="1:20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</row>
    <row r="119" spans="1:20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</row>
    <row r="120" spans="1: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</row>
    <row r="121" spans="1:20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</row>
    <row r="122" spans="1:20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</row>
    <row r="123" spans="1:20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</row>
    <row r="124" spans="1:20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</row>
    <row r="125" spans="1:20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</row>
    <row r="126" spans="1:20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</row>
    <row r="127" spans="1:20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</row>
    <row r="128" spans="1:20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</row>
    <row r="129" spans="1:20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</row>
    <row r="130" spans="1:2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</row>
    <row r="131" spans="1:20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</row>
    <row r="132" spans="1:20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</row>
    <row r="133" spans="1:20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</row>
    <row r="134" spans="1:20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</row>
    <row r="135" spans="1:20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</row>
    <row r="136" spans="1:20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</row>
    <row r="137" spans="1:20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</row>
    <row r="138" spans="1:20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</row>
    <row r="139" spans="1:20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</row>
    <row r="140" spans="1:2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</row>
    <row r="141" spans="1:20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</row>
    <row r="142" spans="1:20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</row>
    <row r="143" spans="1:20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</row>
    <row r="144" spans="1:20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</row>
    <row r="145" spans="1:20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</row>
    <row r="146" spans="1:20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</row>
    <row r="147" spans="1:20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</row>
    <row r="148" spans="1:20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</row>
    <row r="149" spans="1:20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</row>
    <row r="150" spans="1:2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</row>
    <row r="151" spans="1:20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</row>
    <row r="152" spans="1:20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</row>
    <row r="153" spans="1:20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</row>
    <row r="154" spans="1:20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</row>
    <row r="155" spans="1:20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</row>
    <row r="156" spans="1:20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</row>
    <row r="157" spans="1:20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</row>
    <row r="158" spans="1:20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</row>
    <row r="159" spans="1:20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</row>
    <row r="160" spans="1:2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</row>
    <row r="161" spans="1:20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</row>
    <row r="162" spans="1:20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</row>
    <row r="163" spans="1:20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</row>
    <row r="164" spans="1:20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</row>
    <row r="165" spans="1:20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</row>
    <row r="166" spans="1:20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</row>
    <row r="167" spans="1:20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</row>
    <row r="168" spans="1:20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  <row r="169" spans="1:20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</row>
    <row r="170" spans="1:2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</row>
    <row r="171" spans="1:20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</row>
    <row r="172" spans="1:20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</row>
    <row r="173" spans="1:20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</row>
    <row r="174" spans="1:20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</row>
    <row r="175" spans="1:20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</row>
    <row r="176" spans="1:20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</row>
    <row r="177" spans="1:20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</row>
    <row r="178" spans="1:20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</row>
    <row r="179" spans="1:20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</row>
    <row r="180" spans="1:2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</row>
    <row r="181" spans="1:20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</row>
    <row r="182" spans="1:20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</row>
    <row r="183" spans="1:20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</row>
    <row r="184" spans="1:20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</row>
    <row r="185" spans="1:20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</row>
    <row r="186" spans="1:20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</row>
    <row r="187" spans="1:20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</row>
    <row r="188" spans="1:20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</row>
    <row r="189" spans="1:20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</row>
    <row r="190" spans="1:2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</row>
    <row r="191" spans="1:20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</row>
    <row r="192" spans="1:20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</row>
    <row r="193" spans="1:20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</row>
    <row r="194" spans="1:20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</row>
    <row r="195" spans="1:20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</row>
    <row r="196" spans="1:20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</row>
    <row r="197" spans="1:20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</row>
    <row r="198" spans="1:20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</row>
    <row r="199" spans="1:20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</row>
    <row r="200" spans="1:2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</row>
    <row r="201" spans="1:20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</row>
    <row r="202" spans="1:20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</row>
    <row r="203" spans="1:20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</row>
    <row r="204" spans="1:20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</row>
    <row r="205" spans="1:20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</row>
    <row r="206" spans="1:20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</row>
    <row r="207" spans="1:20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</row>
    <row r="208" spans="1:20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</row>
    <row r="209" spans="1:20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</row>
    <row r="210" spans="1:2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</row>
    <row r="211" spans="1:20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</row>
    <row r="212" spans="1:20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</row>
    <row r="213" spans="1:20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</row>
    <row r="214" spans="1:20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</row>
    <row r="215" spans="1:20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</row>
    <row r="216" spans="1:20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</row>
    <row r="217" spans="1:20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</row>
    <row r="218" spans="1:20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</row>
    <row r="219" spans="1:20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</row>
    <row r="220" spans="1: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</row>
    <row r="221" spans="1:20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</row>
    <row r="222" spans="1:20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</row>
    <row r="223" spans="1:20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</row>
    <row r="224" spans="1:20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</row>
    <row r="225" spans="1:20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</row>
    <row r="226" spans="1:20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</row>
    <row r="227" spans="1:20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</row>
    <row r="228" spans="1:20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</row>
    <row r="229" spans="1:20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</row>
    <row r="230" spans="1:2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</row>
    <row r="231" spans="1:20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</row>
    <row r="232" spans="1:20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</row>
    <row r="233" spans="1:20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</row>
    <row r="234" spans="1:20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</row>
    <row r="235" spans="1:20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</row>
    <row r="236" spans="1:20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</row>
    <row r="237" spans="1:20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</row>
    <row r="238" spans="1:20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</row>
    <row r="239" spans="1:20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</row>
    <row r="240" spans="1:2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</row>
    <row r="241" spans="1:20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</row>
    <row r="242" spans="1:20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</row>
    <row r="243" spans="1:20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</row>
    <row r="244" spans="1:20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</row>
    <row r="245" spans="1:20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</row>
    <row r="246" spans="1:20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</row>
    <row r="247" spans="1:20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</row>
    <row r="248" spans="1:20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</row>
    <row r="249" spans="1:20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</row>
    <row r="250" spans="1:2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</row>
    <row r="251" spans="1:20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</row>
    <row r="252" spans="1:20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</row>
    <row r="253" spans="1:20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</row>
    <row r="254" spans="1:20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</row>
    <row r="255" spans="1:20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</row>
    <row r="256" spans="1:20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</row>
    <row r="257" spans="1:20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</row>
    <row r="258" spans="1:20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</row>
    <row r="259" spans="1:20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</row>
    <row r="260" spans="1:2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</row>
    <row r="261" spans="1:20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</row>
    <row r="262" spans="1:20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</row>
    <row r="263" spans="1:20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</row>
    <row r="264" spans="1:20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</row>
    <row r="265" spans="1:20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</row>
    <row r="266" spans="1:20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</row>
    <row r="267" spans="1:20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</row>
    <row r="268" spans="1:20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</row>
    <row r="269" spans="1:20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</row>
    <row r="270" spans="1:2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</row>
    <row r="271" spans="1:20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</row>
    <row r="272" spans="1:20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</row>
    <row r="273" spans="1:20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</row>
    <row r="274" spans="1:20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</row>
    <row r="275" spans="1:20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</row>
    <row r="276" spans="1:20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</row>
    <row r="277" spans="1:20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</row>
    <row r="278" spans="1:20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</row>
    <row r="279" spans="1:20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</row>
    <row r="280" spans="1:2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</row>
    <row r="281" spans="1:20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</row>
    <row r="282" spans="1:20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</row>
    <row r="283" spans="1:20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</row>
    <row r="284" spans="1:20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</row>
    <row r="285" spans="1:20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</row>
    <row r="286" spans="1:20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</row>
    <row r="287" spans="1:20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</row>
    <row r="288" spans="1:20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</row>
    <row r="289" spans="1:20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</row>
    <row r="290" spans="1:2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</row>
    <row r="291" spans="1:20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</row>
    <row r="292" spans="1:20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</row>
    <row r="293" spans="1:20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</row>
    <row r="294" spans="1:20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</row>
    <row r="295" spans="1:20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</row>
    <row r="296" spans="1:20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</row>
    <row r="297" spans="1:20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</row>
    <row r="298" spans="1:20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</row>
    <row r="299" spans="1:20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</row>
    <row r="300" spans="1:2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</row>
    <row r="301" spans="1:20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</row>
    <row r="302" spans="1:20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</row>
    <row r="303" spans="1:20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</row>
    <row r="304" spans="1:20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</row>
    <row r="305" spans="1:20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</row>
    <row r="306" spans="1:20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</row>
    <row r="307" spans="1:20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</row>
    <row r="308" spans="1:20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</row>
    <row r="309" spans="1:20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</row>
    <row r="310" spans="1:2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</row>
    <row r="311" spans="1:20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</row>
    <row r="312" spans="1:20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</row>
    <row r="313" spans="1:20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</row>
    <row r="314" spans="1:20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</row>
    <row r="315" spans="1:20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</row>
    <row r="316" spans="1:20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</row>
    <row r="317" spans="1:20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</row>
    <row r="318" spans="1:20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</row>
    <row r="319" spans="1:20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</row>
    <row r="320" spans="1: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</row>
    <row r="321" spans="1:20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</row>
    <row r="322" spans="1:20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</row>
    <row r="323" spans="1:20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</row>
    <row r="324" spans="1:20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</row>
    <row r="325" spans="1:20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</row>
    <row r="326" spans="1:20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</row>
    <row r="327" spans="1:20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</row>
    <row r="328" spans="1:20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</row>
    <row r="329" spans="1:20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</row>
    <row r="330" spans="1:2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</row>
    <row r="331" spans="1:20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</row>
    <row r="332" spans="1:20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</row>
    <row r="333" spans="1:20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</row>
    <row r="334" spans="1:20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</row>
    <row r="335" spans="1:20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</row>
    <row r="336" spans="1:20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</row>
    <row r="337" spans="1:20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</row>
    <row r="338" spans="1:20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</row>
    <row r="339" spans="1:20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</row>
    <row r="340" spans="1:2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</row>
    <row r="341" spans="1:20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</row>
    <row r="342" spans="1:20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</row>
    <row r="343" spans="1:20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</row>
    <row r="344" spans="1:20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</row>
    <row r="345" spans="1:20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</row>
    <row r="346" spans="1:20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</row>
    <row r="347" spans="1:20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</row>
    <row r="348" spans="1:20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</row>
    <row r="349" spans="1:20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</row>
    <row r="350" spans="1:2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</row>
    <row r="351" spans="1:20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</row>
    <row r="352" spans="1:20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</row>
    <row r="353" spans="1:20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</row>
    <row r="354" spans="1:20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</row>
    <row r="355" spans="1:20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</row>
    <row r="356" spans="1:20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</row>
    <row r="357" spans="1:20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</row>
    <row r="358" spans="1:20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</row>
    <row r="359" spans="1:20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</row>
    <row r="360" spans="1:2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</row>
    <row r="361" spans="1:20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</row>
    <row r="362" spans="1:20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</row>
    <row r="363" spans="1:20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</row>
    <row r="364" spans="1:20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</row>
    <row r="365" spans="1:20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</row>
    <row r="366" spans="1:20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</row>
    <row r="367" spans="1:20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</row>
    <row r="368" spans="1:20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</row>
    <row r="369" spans="1:20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</row>
    <row r="370" spans="1:2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</row>
    <row r="371" spans="1:20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</row>
    <row r="372" spans="1:20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</row>
    <row r="373" spans="1:20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</row>
    <row r="374" spans="1:20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</row>
    <row r="375" spans="1:20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</row>
    <row r="376" spans="1:20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</row>
    <row r="377" spans="1:20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</row>
    <row r="378" spans="1:20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</row>
    <row r="379" spans="1:20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</row>
    <row r="380" spans="1:2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</row>
    <row r="381" spans="1:20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</row>
    <row r="382" spans="1:20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</row>
    <row r="383" spans="1:20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</row>
    <row r="384" spans="1:20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</row>
    <row r="385" spans="1:20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</row>
    <row r="386" spans="1:20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</row>
    <row r="387" spans="1:20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</row>
    <row r="388" spans="1:20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</row>
    <row r="389" spans="1:20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</row>
    <row r="390" spans="1:2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</row>
    <row r="391" spans="1:20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</row>
    <row r="392" spans="1:20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</row>
    <row r="393" spans="1:20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</row>
    <row r="394" spans="1:20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</row>
    <row r="395" spans="1:20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</row>
    <row r="396" spans="1:20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</row>
    <row r="397" spans="1:20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</row>
    <row r="398" spans="1:20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</row>
    <row r="399" spans="1:20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</row>
    <row r="400" spans="1:2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</row>
    <row r="401" spans="1:20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</row>
    <row r="402" spans="1:20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</row>
    <row r="403" spans="1:20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</row>
    <row r="404" spans="1:20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</row>
    <row r="405" spans="1:20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</row>
    <row r="406" spans="1:20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</row>
    <row r="407" spans="1:20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</row>
    <row r="408" spans="1:20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</row>
    <row r="409" spans="1:20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</row>
    <row r="410" spans="1:2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</row>
    <row r="411" spans="1:20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</row>
    <row r="412" spans="1:20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</row>
    <row r="413" spans="1:20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</row>
    <row r="414" spans="1:20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</row>
    <row r="415" spans="1:20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</row>
    <row r="416" spans="1:20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</row>
    <row r="417" spans="1:20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</row>
    <row r="418" spans="1:20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</row>
    <row r="419" spans="1:20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</row>
    <row r="420" spans="1: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</row>
    <row r="421" spans="1:20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</row>
    <row r="422" spans="1:20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</row>
    <row r="423" spans="1:20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</row>
    <row r="424" spans="1:20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</row>
    <row r="425" spans="1:20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</row>
    <row r="426" spans="1:20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</row>
    <row r="427" spans="1:20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</row>
    <row r="428" spans="1:20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</row>
    <row r="429" spans="1:20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</row>
    <row r="430" spans="1:2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</row>
    <row r="431" spans="1:20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</row>
    <row r="432" spans="1:20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</row>
    <row r="433" spans="1:20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</row>
    <row r="434" spans="1:20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</row>
    <row r="435" spans="1:20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</row>
    <row r="436" spans="1:20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</row>
    <row r="437" spans="1:20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</row>
    <row r="438" spans="1:20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</row>
    <row r="439" spans="1:20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</row>
    <row r="440" spans="1:2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</row>
    <row r="441" spans="1:20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</row>
    <row r="442" spans="1:20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</row>
    <row r="443" spans="1:20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</row>
    <row r="444" spans="1:20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</row>
    <row r="445" spans="1:20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</row>
    <row r="446" spans="1:20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</row>
    <row r="447" spans="1:20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</row>
    <row r="448" spans="1:20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</row>
    <row r="449" spans="1:20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</row>
    <row r="450" spans="1:2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</row>
    <row r="451" spans="1:20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</row>
    <row r="452" spans="1:20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</row>
    <row r="453" spans="1:20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</row>
    <row r="454" spans="1:20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</row>
    <row r="455" spans="1:20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</row>
    <row r="456" spans="1:20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</row>
    <row r="457" spans="1:20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</row>
    <row r="458" spans="1:20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</row>
    <row r="459" spans="1:20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</row>
    <row r="460" spans="1:2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</row>
    <row r="461" spans="1:20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</row>
    <row r="462" spans="1:20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</row>
    <row r="463" spans="1:20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</row>
    <row r="464" spans="1:20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</row>
    <row r="465" spans="1:20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</row>
    <row r="466" spans="1:20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</row>
    <row r="467" spans="1:20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</row>
    <row r="468" spans="1:20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</row>
    <row r="469" spans="1:20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</row>
    <row r="470" spans="1:2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</row>
    <row r="471" spans="1:20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</row>
    <row r="472" spans="1:20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</row>
    <row r="473" spans="1:20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</row>
    <row r="474" spans="1:20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</row>
    <row r="475" spans="1:20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</row>
    <row r="476" spans="1:20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</row>
    <row r="477" spans="1:20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</row>
    <row r="478" spans="1:20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</row>
    <row r="479" spans="1:20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</row>
    <row r="480" spans="1:2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</row>
    <row r="481" spans="1:20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</row>
    <row r="482" spans="1:20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</row>
    <row r="483" spans="1:20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</row>
    <row r="484" spans="1:20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</row>
    <row r="485" spans="1:20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</row>
    <row r="486" spans="1:20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</row>
    <row r="487" spans="1:20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</row>
    <row r="488" spans="1:20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</row>
    <row r="489" spans="1:20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</row>
    <row r="490" spans="1:2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</row>
    <row r="491" spans="1:20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</row>
    <row r="492" spans="1:20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</row>
    <row r="493" spans="1:20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</row>
    <row r="494" spans="1:20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</row>
    <row r="495" spans="1:20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</row>
    <row r="496" spans="1:20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</row>
    <row r="497" spans="1:20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</row>
    <row r="498" spans="1:20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</row>
    <row r="499" spans="1:20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</row>
    <row r="500" spans="1:2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</row>
    <row r="501" spans="1:20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</row>
    <row r="502" spans="1:20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</row>
    <row r="503" spans="1:20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</row>
    <row r="504" spans="1:20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</row>
    <row r="505" spans="1:20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</row>
    <row r="506" spans="1:20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</row>
    <row r="507" spans="1:20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</row>
    <row r="508" spans="1:20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</row>
    <row r="509" spans="1:20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</row>
    <row r="510" spans="1:2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</row>
    <row r="511" spans="1:20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</row>
    <row r="512" spans="1:20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</row>
    <row r="513" spans="1:20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</row>
    <row r="514" spans="1:20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</row>
    <row r="515" spans="1:20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</row>
    <row r="516" spans="1:20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</row>
    <row r="517" spans="1:20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</row>
    <row r="518" spans="1:20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</row>
    <row r="519" spans="1:20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</row>
    <row r="520" spans="1: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</row>
    <row r="521" spans="1:20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</row>
    <row r="522" spans="1:20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</row>
    <row r="523" spans="1:20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</row>
    <row r="524" spans="1:20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</row>
    <row r="525" spans="1:20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</row>
    <row r="526" spans="1:20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</row>
    <row r="527" spans="1:20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</row>
    <row r="528" spans="1:20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</row>
    <row r="529" spans="1:20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</row>
    <row r="530" spans="1:2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</row>
    <row r="531" spans="1:20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</row>
    <row r="532" spans="1:20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</row>
    <row r="533" spans="1:20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</row>
    <row r="534" spans="1:20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</row>
    <row r="535" spans="1:20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</row>
    <row r="536" spans="1:20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</row>
    <row r="537" spans="1:20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</row>
    <row r="538" spans="1:20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</row>
    <row r="539" spans="1:20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</row>
    <row r="540" spans="1:2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</row>
    <row r="541" spans="1:20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</row>
    <row r="542" spans="1:20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</row>
    <row r="543" spans="1:20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</row>
    <row r="544" spans="1:20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</row>
    <row r="545" spans="1:20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</row>
    <row r="546" spans="1:20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</row>
    <row r="547" spans="1:20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</row>
    <row r="548" spans="1:20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</row>
    <row r="549" spans="1:20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</row>
    <row r="550" spans="1:2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</row>
    <row r="551" spans="1:20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</row>
    <row r="552" spans="1:20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</row>
    <row r="553" spans="1:20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</row>
    <row r="554" spans="1:20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</row>
    <row r="555" spans="1:20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</row>
    <row r="556" spans="1:20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</row>
    <row r="557" spans="1:20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</row>
    <row r="558" spans="1:20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</row>
    <row r="559" spans="1:20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</row>
    <row r="560" spans="1:2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</row>
    <row r="561" spans="1:20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</row>
    <row r="562" spans="1:20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</row>
    <row r="563" spans="1:20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</row>
    <row r="564" spans="1:20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</row>
    <row r="565" spans="1:20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</row>
    <row r="566" spans="1:20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</row>
    <row r="567" spans="1:20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</row>
    <row r="568" spans="1:20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</row>
    <row r="569" spans="1:20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</row>
    <row r="570" spans="1:2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</row>
    <row r="571" spans="1:20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</row>
    <row r="572" spans="1:20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</row>
    <row r="573" spans="1:20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</row>
    <row r="574" spans="1:20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</row>
    <row r="575" spans="1:20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</row>
    <row r="576" spans="1:20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</row>
    <row r="577" spans="1:20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</row>
    <row r="578" spans="1:20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</row>
    <row r="579" spans="1:20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</row>
    <row r="580" spans="1:2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</row>
    <row r="581" spans="1:20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</row>
    <row r="582" spans="1:20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</row>
    <row r="583" spans="1:20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</row>
    <row r="584" spans="1:20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</row>
    <row r="585" spans="1:20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</row>
    <row r="586" spans="1:20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</row>
    <row r="587" spans="1:20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</row>
    <row r="588" spans="1:20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</row>
    <row r="589" spans="1:20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</row>
    <row r="590" spans="1:2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</row>
    <row r="591" spans="1:20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</row>
    <row r="592" spans="1:20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</row>
    <row r="593" spans="1:20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</row>
    <row r="594" spans="1:20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</row>
    <row r="595" spans="1:20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</row>
    <row r="596" spans="1:20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</row>
    <row r="597" spans="1:20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</row>
    <row r="598" spans="1:20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</row>
    <row r="599" spans="1:20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</row>
    <row r="600" spans="1:2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</row>
    <row r="601" spans="1:20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</row>
    <row r="602" spans="1:20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</row>
    <row r="603" spans="1:20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</row>
    <row r="604" spans="1:20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</row>
    <row r="605" spans="1:20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</row>
    <row r="606" spans="1:20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</row>
    <row r="607" spans="1:20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</row>
    <row r="608" spans="1:20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</row>
    <row r="609" spans="1:20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</row>
    <row r="610" spans="1:2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</row>
    <row r="611" spans="1:20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</row>
    <row r="612" spans="1:20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</row>
    <row r="613" spans="1:20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</row>
    <row r="614" spans="1:20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</row>
    <row r="615" spans="1:20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</row>
    <row r="616" spans="1:20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</row>
    <row r="617" spans="1:20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</row>
    <row r="618" spans="1:20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</row>
    <row r="619" spans="1:20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</row>
    <row r="620" spans="1: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</row>
    <row r="621" spans="1:20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</row>
    <row r="622" spans="1:20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</row>
    <row r="623" spans="1:20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</row>
    <row r="624" spans="1:20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</row>
    <row r="625" spans="1:20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</row>
    <row r="626" spans="1:20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</row>
    <row r="627" spans="1:20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</row>
    <row r="628" spans="1:20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</row>
    <row r="629" spans="1:20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</row>
    <row r="630" spans="1:2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</row>
    <row r="631" spans="1:20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</row>
    <row r="632" spans="1:20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</row>
    <row r="633" spans="1:20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</row>
    <row r="634" spans="1:20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</row>
    <row r="635" spans="1:20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</row>
    <row r="636" spans="1:20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</row>
    <row r="637" spans="1:20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</row>
    <row r="638" spans="1:20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</row>
    <row r="639" spans="1:20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</row>
    <row r="640" spans="1:2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</row>
    <row r="641" spans="1:20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</row>
    <row r="642" spans="1:20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</row>
    <row r="643" spans="1:20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</row>
    <row r="644" spans="1:20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</row>
    <row r="645" spans="1:20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</row>
    <row r="646" spans="1:20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</row>
    <row r="647" spans="1:20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</row>
    <row r="648" spans="1:20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</row>
    <row r="649" spans="1:20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</row>
    <row r="650" spans="1:2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</row>
    <row r="651" spans="1:20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</row>
    <row r="652" spans="1:20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</row>
    <row r="653" spans="1:20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</row>
    <row r="654" spans="1:20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</row>
    <row r="655" spans="1:20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</row>
    <row r="656" spans="1:20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</row>
    <row r="657" spans="1:20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</row>
    <row r="658" spans="1:20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</row>
    <row r="659" spans="1:20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</row>
    <row r="660" spans="1:2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</row>
    <row r="661" spans="1:20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</row>
    <row r="662" spans="1:20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</row>
    <row r="663" spans="1:20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</row>
    <row r="664" spans="1:20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</row>
    <row r="665" spans="1:20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</row>
    <row r="666" spans="1:20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</row>
    <row r="667" spans="1:20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</row>
    <row r="668" spans="1:20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</row>
    <row r="669" spans="1:20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</row>
    <row r="670" spans="1:2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</row>
    <row r="671" spans="1:20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</row>
    <row r="672" spans="1:20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</row>
    <row r="673" spans="1:20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</row>
    <row r="674" spans="1:20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</row>
    <row r="675" spans="1:20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</row>
    <row r="676" spans="1:20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</row>
    <row r="677" spans="1:20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</row>
    <row r="678" spans="1:20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</row>
    <row r="679" spans="1:20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</row>
    <row r="680" spans="1:2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</row>
    <row r="681" spans="1:20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</row>
    <row r="682" spans="1:20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</row>
    <row r="683" spans="1:20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</row>
    <row r="684" spans="1:20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</row>
    <row r="685" spans="1:20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</row>
    <row r="686" spans="1:20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</row>
    <row r="687" spans="1:20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</row>
    <row r="688" spans="1:20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</row>
    <row r="689" spans="1:20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</row>
    <row r="690" spans="1:2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</row>
    <row r="691" spans="1:20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</row>
    <row r="692" spans="1:20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</row>
    <row r="693" spans="1:20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</row>
    <row r="694" spans="1:20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</row>
    <row r="695" spans="1:20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</row>
    <row r="696" spans="1:20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</row>
    <row r="697" spans="1:20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</row>
    <row r="698" spans="1:20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</row>
    <row r="699" spans="1:20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</row>
    <row r="700" spans="1:2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</row>
    <row r="701" spans="1:20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</row>
    <row r="702" spans="1:20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</row>
    <row r="703" spans="1:20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</row>
    <row r="704" spans="1:20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</row>
    <row r="705" spans="1:20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</row>
    <row r="706" spans="1:20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</row>
    <row r="707" spans="1:20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</row>
    <row r="708" spans="1:20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</row>
    <row r="709" spans="1:20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</row>
    <row r="710" spans="1:2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</row>
    <row r="711" spans="1:20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</row>
    <row r="712" spans="1:20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</row>
    <row r="713" spans="1:20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</row>
    <row r="714" spans="1:20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</row>
    <row r="715" spans="1:20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</row>
    <row r="716" spans="1:20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</row>
    <row r="717" spans="1:20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</row>
    <row r="718" spans="1:20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</row>
    <row r="719" spans="1:20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</row>
    <row r="720" spans="1: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</row>
    <row r="721" spans="1:20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</row>
    <row r="722" spans="1:20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</row>
    <row r="723" spans="1:20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</row>
    <row r="724" spans="1:20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</row>
    <row r="725" spans="1:20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</row>
    <row r="726" spans="1:20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</row>
    <row r="727" spans="1:20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</row>
    <row r="728" spans="1:20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</row>
    <row r="729" spans="1:20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</row>
    <row r="730" spans="1:2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</row>
    <row r="731" spans="1:20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</row>
    <row r="732" spans="1:20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</row>
    <row r="733" spans="1:20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</row>
    <row r="734" spans="1:20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</row>
    <row r="735" spans="1:20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</row>
    <row r="736" spans="1:20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</row>
    <row r="737" spans="1:20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</row>
    <row r="738" spans="1:20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</row>
    <row r="739" spans="1:20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</row>
    <row r="740" spans="1:2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</row>
    <row r="741" spans="1:20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</row>
    <row r="742" spans="1:20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</row>
    <row r="743" spans="1:20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</row>
    <row r="744" spans="1:20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</row>
    <row r="745" spans="1:20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</row>
    <row r="746" spans="1:20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</row>
    <row r="747" spans="1:20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</row>
    <row r="748" spans="1:20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</row>
    <row r="749" spans="1:20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</row>
    <row r="750" spans="1:2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</row>
    <row r="751" spans="1:20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</row>
    <row r="752" spans="1:20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</row>
    <row r="753" spans="1:20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</row>
    <row r="754" spans="1:20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</row>
    <row r="755" spans="1:20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</row>
    <row r="756" spans="1:20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</row>
    <row r="757" spans="1:20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</row>
    <row r="758" spans="1:20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</row>
    <row r="759" spans="1:20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</row>
    <row r="760" spans="1:2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</row>
    <row r="761" spans="1:20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</row>
    <row r="762" spans="1:20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</row>
    <row r="763" spans="1:20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</row>
    <row r="764" spans="1:20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</row>
    <row r="765" spans="1:20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</row>
    <row r="766" spans="1:20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</row>
    <row r="767" spans="1:20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</row>
    <row r="768" spans="1:20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</row>
    <row r="769" spans="1:20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</row>
    <row r="770" spans="1:2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</row>
    <row r="771" spans="1:20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</row>
    <row r="772" spans="1:20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</row>
    <row r="773" spans="1:20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</row>
    <row r="774" spans="1:20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</row>
    <row r="775" spans="1:20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</row>
    <row r="776" spans="1:20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</row>
    <row r="777" spans="1:20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</row>
    <row r="778" spans="1:20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</row>
    <row r="779" spans="1:20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</row>
    <row r="780" spans="1:2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</row>
    <row r="781" spans="1:20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</row>
    <row r="782" spans="1:20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</row>
    <row r="783" spans="1:20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</row>
    <row r="784" spans="1:20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</row>
    <row r="785" spans="1:20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</row>
    <row r="786" spans="1:20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</row>
    <row r="787" spans="1:20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</row>
    <row r="788" spans="1:20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</row>
    <row r="789" spans="1:20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</row>
    <row r="790" spans="1:2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</row>
    <row r="791" spans="1:20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</row>
    <row r="792" spans="1:20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</row>
    <row r="793" spans="1:20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</row>
    <row r="794" spans="1:20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</row>
    <row r="795" spans="1:20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</row>
    <row r="796" spans="1:20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</row>
    <row r="797" spans="1:20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</row>
    <row r="798" spans="1:20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</row>
    <row r="799" spans="1:20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</row>
    <row r="800" spans="1:2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</row>
    <row r="801" spans="1:20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</row>
    <row r="802" spans="1:20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</row>
    <row r="803" spans="1:20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</row>
    <row r="804" spans="1:20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</row>
    <row r="805" spans="1:20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</row>
    <row r="806" spans="1:20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</row>
    <row r="807" spans="1:20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</row>
    <row r="808" spans="1:20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</row>
    <row r="809" spans="1:20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</row>
    <row r="810" spans="1:2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</row>
    <row r="811" spans="1:20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</row>
    <row r="812" spans="1:20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</row>
    <row r="813" spans="1:20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</row>
    <row r="814" spans="1:20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</row>
    <row r="815" spans="1:20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</row>
    <row r="816" spans="1:20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</row>
    <row r="817" spans="1:20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</row>
    <row r="818" spans="1:20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</row>
    <row r="819" spans="1:20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</row>
    <row r="820" spans="1: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</row>
    <row r="821" spans="1:20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</row>
    <row r="822" spans="1:20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</row>
    <row r="823" spans="1:20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</row>
    <row r="824" spans="1:20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</row>
    <row r="825" spans="1:20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</row>
    <row r="826" spans="1:20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</row>
    <row r="827" spans="1:20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</row>
    <row r="828" spans="1:20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</row>
    <row r="829" spans="1:20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</row>
    <row r="830" spans="1:2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</row>
    <row r="831" spans="1:20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</row>
    <row r="832" spans="1:20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</row>
    <row r="833" spans="1:20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</row>
    <row r="834" spans="1:20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</row>
    <row r="835" spans="1:20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</row>
    <row r="836" spans="1:20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</row>
    <row r="837" spans="1:20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</row>
    <row r="838" spans="1:20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</row>
    <row r="839" spans="1:20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</row>
    <row r="840" spans="1:2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</row>
    <row r="841" spans="1:20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</row>
    <row r="842" spans="1:20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</row>
    <row r="843" spans="1:20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</row>
    <row r="844" spans="1:20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</row>
    <row r="845" spans="1:20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</row>
    <row r="846" spans="1:20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</row>
    <row r="847" spans="1:20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</row>
    <row r="848" spans="1:20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</row>
    <row r="849" spans="1:20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</row>
    <row r="850" spans="1:2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</row>
    <row r="851" spans="1:20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</row>
    <row r="852" spans="1:20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</row>
    <row r="853" spans="1:20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</row>
    <row r="854" spans="1:20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</row>
    <row r="855" spans="1:20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</row>
    <row r="856" spans="1:20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</row>
    <row r="857" spans="1:20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</row>
    <row r="858" spans="1:20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</row>
    <row r="859" spans="1:20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</row>
    <row r="860" spans="1:2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</row>
    <row r="861" spans="1:20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</row>
    <row r="862" spans="1:20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</row>
    <row r="863" spans="1:20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</row>
    <row r="864" spans="1:20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</row>
    <row r="865" spans="1:20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</row>
    <row r="866" spans="1:20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</row>
    <row r="867" spans="1:20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</row>
    <row r="868" spans="1:20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</row>
    <row r="869" spans="1:20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</row>
    <row r="870" spans="1:2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</row>
    <row r="871" spans="1:20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</row>
    <row r="872" spans="1:20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</row>
    <row r="873" spans="1:20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</row>
    <row r="874" spans="1:20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</row>
    <row r="875" spans="1:20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</row>
    <row r="876" spans="1:20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</row>
    <row r="877" spans="1:20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</row>
    <row r="878" spans="1:20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</row>
    <row r="879" spans="1:20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</row>
    <row r="880" spans="1:2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</row>
    <row r="881" spans="1:20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</row>
    <row r="882" spans="1:20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</row>
    <row r="883" spans="1:20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</row>
    <row r="884" spans="1:20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</row>
    <row r="885" spans="1:20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</row>
    <row r="886" spans="1:20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</row>
    <row r="887" spans="1:20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</row>
    <row r="888" spans="1:20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</row>
    <row r="889" spans="1:20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</row>
    <row r="890" spans="1:2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</row>
    <row r="891" spans="1:20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</row>
    <row r="892" spans="1:20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</row>
    <row r="893" spans="1:20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</row>
    <row r="894" spans="1:20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</row>
    <row r="895" spans="1:20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</row>
    <row r="896" spans="1:20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</row>
    <row r="897" spans="1:20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</row>
    <row r="898" spans="1:20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</row>
    <row r="899" spans="1:20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</row>
    <row r="900" spans="1:2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</row>
    <row r="901" spans="1:20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</row>
    <row r="902" spans="1:20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</row>
    <row r="903" spans="1:20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</row>
    <row r="904" spans="1:20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</row>
    <row r="905" spans="1:20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</row>
    <row r="906" spans="1:20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</row>
    <row r="907" spans="1:20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</row>
    <row r="908" spans="1:20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</row>
    <row r="909" spans="1:20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</row>
    <row r="910" spans="1:2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</row>
    <row r="911" spans="1:20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</row>
    <row r="912" spans="1:20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</row>
    <row r="913" spans="1:20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</row>
    <row r="914" spans="1:20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</row>
    <row r="915" spans="1:20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</row>
    <row r="916" spans="1:20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</row>
    <row r="917" spans="1:20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</row>
    <row r="918" spans="1:20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</row>
    <row r="919" spans="1:20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</row>
    <row r="920" spans="1: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</row>
    <row r="921" spans="1:20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</row>
    <row r="922" spans="1:20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</row>
    <row r="923" spans="1:20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</row>
    <row r="924" spans="1:20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</row>
    <row r="925" spans="1:20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</row>
    <row r="926" spans="1:20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</row>
    <row r="927" spans="1:20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</row>
    <row r="928" spans="1:20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</row>
    <row r="929" spans="1:20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</row>
    <row r="930" spans="1:2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</row>
    <row r="931" spans="1:20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</row>
    <row r="932" spans="1:20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</row>
    <row r="933" spans="1:20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</row>
    <row r="934" spans="1:20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</row>
    <row r="935" spans="1:20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</row>
    <row r="936" spans="1:20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</row>
    <row r="937" spans="1:20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</row>
    <row r="938" spans="1:20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</row>
    <row r="939" spans="1:20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</row>
    <row r="940" spans="1:2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</row>
    <row r="941" spans="1:20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</row>
    <row r="942" spans="1:20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</row>
    <row r="943" spans="1:20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</row>
    <row r="944" spans="1:20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</row>
    <row r="945" spans="1:20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</row>
    <row r="946" spans="1:20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</row>
    <row r="947" spans="1:20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</row>
    <row r="948" spans="1:20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</row>
    <row r="949" spans="1:20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</row>
    <row r="950" spans="1:2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</row>
    <row r="951" spans="1:20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</row>
    <row r="952" spans="1:20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</row>
    <row r="953" spans="1:20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</row>
    <row r="954" spans="1:20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</row>
    <row r="955" spans="1:20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</row>
    <row r="956" spans="1:20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</row>
    <row r="957" spans="1:20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</row>
    <row r="958" spans="1:20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</row>
    <row r="959" spans="1:20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</row>
    <row r="960" spans="1:2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</row>
    <row r="961" spans="1:20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</row>
    <row r="962" spans="1:20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</row>
    <row r="963" spans="1:20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</row>
    <row r="964" spans="1:20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</row>
    <row r="965" spans="1:20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</row>
    <row r="966" spans="1:20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</row>
    <row r="967" spans="1:20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</row>
    <row r="968" spans="1:20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</row>
    <row r="969" spans="1:20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</row>
    <row r="970" spans="1:2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</row>
    <row r="971" spans="1:20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</row>
    <row r="972" spans="1:20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</row>
    <row r="973" spans="1:20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</row>
    <row r="974" spans="1:20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</row>
    <row r="975" spans="1:20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</row>
    <row r="976" spans="1:20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</row>
    <row r="977" spans="1:20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</row>
    <row r="978" spans="1:20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</row>
    <row r="979" spans="1:20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</row>
    <row r="980" spans="1:2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</row>
    <row r="981" spans="1:20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</row>
    <row r="982" spans="1:20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</row>
    <row r="983" spans="1:20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</row>
    <row r="984" spans="1:20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</row>
    <row r="985" spans="1:20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</row>
    <row r="986" spans="1:20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</row>
    <row r="987" spans="1:20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</row>
    <row r="988" spans="1:20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</row>
    <row r="989" spans="1:20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</row>
    <row r="990" spans="1:2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</row>
    <row r="991" spans="1:20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</row>
    <row r="992" spans="1:20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</row>
    <row r="993" spans="1:20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</row>
    <row r="994" spans="1:20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</row>
    <row r="995" spans="1:20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</row>
    <row r="996" spans="1:20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</row>
    <row r="997" spans="1:20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</row>
    <row r="998" spans="1:20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</row>
    <row r="999" spans="1:20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</row>
    <row r="1000" spans="1:20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A4ADE-3FA3-4E4E-964A-25D529784044}">
  <sheetPr codeName="Hoja6">
    <tabColor rgb="FF385623"/>
  </sheetPr>
  <dimension ref="A1:J27"/>
  <sheetViews>
    <sheetView showGridLines="0" workbookViewId="0">
      <selection activeCell="C16" sqref="C16:J18"/>
    </sheetView>
  </sheetViews>
  <sheetFormatPr baseColWidth="10" defaultColWidth="11.1640625" defaultRowHeight="15" customHeight="1"/>
  <cols>
    <col min="1" max="1" width="33.83203125" style="99" customWidth="1"/>
    <col min="2" max="2" width="28.1640625" style="99" customWidth="1"/>
    <col min="3" max="3" width="25.83203125" style="99" customWidth="1"/>
    <col min="4" max="4" width="26" style="99" customWidth="1"/>
    <col min="5" max="5" width="36.1640625" style="99" customWidth="1"/>
    <col min="6" max="6" width="13.6640625" style="99" customWidth="1"/>
    <col min="7" max="7" width="18" style="99" customWidth="1"/>
    <col min="8" max="8" width="20.83203125" style="99" customWidth="1"/>
    <col min="9" max="9" width="21.1640625" style="99" customWidth="1"/>
    <col min="10" max="10" width="28.6640625" style="99" customWidth="1"/>
    <col min="11" max="16384" width="11.1640625" style="99"/>
  </cols>
  <sheetData>
    <row r="1" spans="1:10" ht="118.5" customHeight="1" thickBot="1">
      <c r="A1" s="226" t="e" vm="1">
        <v>#VALUE!</v>
      </c>
      <c r="B1" s="227"/>
      <c r="C1" s="207" t="s">
        <v>0</v>
      </c>
      <c r="D1" s="207"/>
      <c r="E1" s="207"/>
      <c r="F1" s="207"/>
      <c r="G1" s="208"/>
      <c r="H1" s="98" t="s">
        <v>1</v>
      </c>
      <c r="I1" s="183" t="s">
        <v>2</v>
      </c>
      <c r="J1" s="172"/>
    </row>
    <row r="2" spans="1:10" ht="76.5" customHeight="1" thickBot="1">
      <c r="A2" s="228"/>
      <c r="B2" s="229"/>
      <c r="C2" s="209"/>
      <c r="D2" s="209"/>
      <c r="E2" s="209"/>
      <c r="F2" s="209"/>
      <c r="G2" s="210"/>
      <c r="H2" s="98" t="s">
        <v>3</v>
      </c>
      <c r="I2" s="184">
        <v>45889</v>
      </c>
      <c r="J2" s="172"/>
    </row>
    <row r="3" spans="1:10" ht="28.5" customHeight="1" thickBot="1">
      <c r="A3" s="201" t="s">
        <v>856</v>
      </c>
      <c r="B3" s="202"/>
      <c r="C3" s="202"/>
      <c r="D3" s="202"/>
      <c r="E3" s="199" t="s">
        <v>855</v>
      </c>
      <c r="F3" s="199"/>
      <c r="G3" s="200"/>
      <c r="H3" s="185" t="s">
        <v>843</v>
      </c>
      <c r="I3" s="186"/>
      <c r="J3" s="187"/>
    </row>
    <row r="4" spans="1:10" ht="28.5" customHeight="1" thickBot="1">
      <c r="A4" s="119" t="s">
        <v>6</v>
      </c>
      <c r="B4" s="231" t="s">
        <v>107</v>
      </c>
      <c r="C4" s="172"/>
      <c r="D4" s="120" t="s">
        <v>8</v>
      </c>
      <c r="E4" s="121" t="s">
        <v>790</v>
      </c>
      <c r="F4" s="230" t="s">
        <v>9</v>
      </c>
      <c r="G4" s="189"/>
      <c r="H4" s="122">
        <v>6300000</v>
      </c>
      <c r="I4" s="123" t="s">
        <v>10</v>
      </c>
      <c r="J4" s="124"/>
    </row>
    <row r="5" spans="1:10" ht="28.5" customHeight="1" thickBot="1">
      <c r="A5" s="232" t="s">
        <v>11</v>
      </c>
      <c r="B5" s="172"/>
      <c r="C5" s="233" t="s">
        <v>108</v>
      </c>
      <c r="D5" s="174"/>
      <c r="E5" s="172"/>
      <c r="F5" s="234" t="s">
        <v>13</v>
      </c>
      <c r="G5" s="194"/>
      <c r="H5" s="237" t="s">
        <v>109</v>
      </c>
      <c r="I5" s="239" t="s">
        <v>15</v>
      </c>
      <c r="J5" s="237" t="s">
        <v>110</v>
      </c>
    </row>
    <row r="6" spans="1:10" ht="69" customHeight="1" thickBot="1">
      <c r="A6" s="121" t="s">
        <v>17</v>
      </c>
      <c r="B6" s="125" t="s">
        <v>18</v>
      </c>
      <c r="C6" s="126" t="s">
        <v>19</v>
      </c>
      <c r="D6" s="127" t="s">
        <v>20</v>
      </c>
      <c r="E6" s="126" t="s">
        <v>21</v>
      </c>
      <c r="F6" s="235"/>
      <c r="G6" s="236"/>
      <c r="H6" s="238"/>
      <c r="I6" s="179"/>
      <c r="J6" s="179"/>
    </row>
    <row r="7" spans="1:10" ht="79" customHeight="1" thickBot="1">
      <c r="A7" s="244" t="s">
        <v>22</v>
      </c>
      <c r="B7" s="172"/>
      <c r="C7" s="245" t="s">
        <v>859</v>
      </c>
      <c r="D7" s="174"/>
      <c r="E7" s="246"/>
      <c r="F7" s="251" t="s">
        <v>23</v>
      </c>
      <c r="G7" s="252"/>
      <c r="H7" s="253"/>
      <c r="I7" s="247" t="s">
        <v>24</v>
      </c>
      <c r="J7" s="172"/>
    </row>
    <row r="8" spans="1:10" ht="28.5" customHeight="1" thickBot="1">
      <c r="A8" s="248" t="s">
        <v>25</v>
      </c>
      <c r="B8" s="249" t="s">
        <v>26</v>
      </c>
      <c r="C8" s="250" t="s">
        <v>27</v>
      </c>
      <c r="D8" s="174"/>
      <c r="E8" s="172"/>
      <c r="F8" s="240" t="s">
        <v>28</v>
      </c>
      <c r="G8" s="189"/>
      <c r="H8" s="241" t="s">
        <v>29</v>
      </c>
      <c r="I8" s="242" t="s">
        <v>30</v>
      </c>
      <c r="J8" s="243" t="s">
        <v>31</v>
      </c>
    </row>
    <row r="9" spans="1:10" ht="28.5" customHeight="1" thickBot="1">
      <c r="A9" s="179"/>
      <c r="B9" s="181"/>
      <c r="C9" s="128" t="s">
        <v>32</v>
      </c>
      <c r="D9" s="129" t="s">
        <v>33</v>
      </c>
      <c r="E9" s="130" t="s">
        <v>34</v>
      </c>
      <c r="F9" s="195"/>
      <c r="G9" s="196"/>
      <c r="H9" s="179"/>
      <c r="I9" s="220"/>
      <c r="J9" s="179"/>
    </row>
    <row r="10" spans="1:10" ht="186" customHeight="1" thickBot="1">
      <c r="A10" s="254" t="s">
        <v>35</v>
      </c>
      <c r="B10" s="237" t="s">
        <v>111</v>
      </c>
      <c r="C10" s="255" t="s">
        <v>112</v>
      </c>
      <c r="D10" s="256" t="s">
        <v>836</v>
      </c>
      <c r="E10" s="256" t="s">
        <v>39</v>
      </c>
      <c r="F10" s="83" t="s">
        <v>839</v>
      </c>
      <c r="G10" s="83" t="s">
        <v>837</v>
      </c>
      <c r="H10" s="256" t="s">
        <v>515</v>
      </c>
      <c r="I10" s="256" t="s">
        <v>836</v>
      </c>
      <c r="J10" s="256" t="s">
        <v>516</v>
      </c>
    </row>
    <row r="11" spans="1:10" ht="44" customHeight="1" thickBot="1">
      <c r="A11" s="212"/>
      <c r="B11" s="212"/>
      <c r="C11" s="215"/>
      <c r="D11" s="257"/>
      <c r="E11" s="257"/>
      <c r="F11" s="261" t="s">
        <v>44</v>
      </c>
      <c r="G11" s="262"/>
      <c r="H11" s="257"/>
      <c r="I11" s="257"/>
      <c r="J11" s="257"/>
    </row>
    <row r="12" spans="1:10" ht="89" customHeight="1" thickBot="1">
      <c r="A12" s="179"/>
      <c r="B12" s="179"/>
      <c r="C12" s="216"/>
      <c r="D12" s="258"/>
      <c r="E12" s="258"/>
      <c r="F12" s="95"/>
      <c r="G12" s="84" t="s">
        <v>838</v>
      </c>
      <c r="H12" s="258"/>
      <c r="I12" s="258"/>
      <c r="J12" s="258"/>
    </row>
    <row r="13" spans="1:10" ht="101" customHeight="1" thickBot="1">
      <c r="A13" s="263" t="s">
        <v>46</v>
      </c>
      <c r="B13" s="260" t="s">
        <v>114</v>
      </c>
      <c r="C13" s="237" t="s">
        <v>861</v>
      </c>
      <c r="D13" s="197" t="s">
        <v>860</v>
      </c>
      <c r="E13" s="237" t="s">
        <v>116</v>
      </c>
      <c r="F13" s="131">
        <v>6</v>
      </c>
      <c r="G13" s="132" t="s">
        <v>862</v>
      </c>
      <c r="H13" s="237" t="s">
        <v>117</v>
      </c>
      <c r="I13" s="237" t="s">
        <v>118</v>
      </c>
      <c r="J13" s="237" t="s">
        <v>119</v>
      </c>
    </row>
    <row r="14" spans="1:10" ht="101" customHeight="1" thickBot="1">
      <c r="A14" s="212"/>
      <c r="B14" s="212"/>
      <c r="C14" s="212"/>
      <c r="D14" s="212"/>
      <c r="E14" s="212"/>
      <c r="F14" s="259" t="s">
        <v>44</v>
      </c>
      <c r="G14" s="222"/>
      <c r="H14" s="212"/>
      <c r="I14" s="212"/>
      <c r="J14" s="212"/>
    </row>
    <row r="15" spans="1:10" ht="113" customHeight="1" thickBot="1">
      <c r="A15" s="179"/>
      <c r="B15" s="179"/>
      <c r="C15" s="179"/>
      <c r="D15" s="179"/>
      <c r="E15" s="179"/>
      <c r="F15" s="138"/>
      <c r="G15" s="132" t="s">
        <v>863</v>
      </c>
      <c r="H15" s="179"/>
      <c r="I15" s="179"/>
      <c r="J15" s="179"/>
    </row>
    <row r="16" spans="1:10" ht="57.75" customHeight="1" thickBot="1">
      <c r="A16" s="264" t="s">
        <v>55</v>
      </c>
      <c r="B16" s="197" t="s">
        <v>47</v>
      </c>
      <c r="C16" s="267" t="s">
        <v>48</v>
      </c>
      <c r="D16" s="197" t="s">
        <v>49</v>
      </c>
      <c r="E16" s="197" t="s">
        <v>39</v>
      </c>
      <c r="F16" s="86">
        <v>75</v>
      </c>
      <c r="G16" s="113" t="s">
        <v>50</v>
      </c>
      <c r="H16" s="197" t="s">
        <v>51</v>
      </c>
      <c r="I16" s="197" t="s">
        <v>52</v>
      </c>
      <c r="J16" s="197" t="s">
        <v>53</v>
      </c>
    </row>
    <row r="17" spans="1:10" ht="24" customHeight="1" thickBot="1">
      <c r="A17" s="265"/>
      <c r="B17" s="212"/>
      <c r="C17" s="215"/>
      <c r="D17" s="212"/>
      <c r="E17" s="212"/>
      <c r="F17" s="221" t="s">
        <v>44</v>
      </c>
      <c r="G17" s="222"/>
      <c r="H17" s="212"/>
      <c r="I17" s="212"/>
      <c r="J17" s="212"/>
    </row>
    <row r="18" spans="1:10" ht="80" customHeight="1" thickBot="1">
      <c r="A18" s="265"/>
      <c r="B18" s="179"/>
      <c r="C18" s="216"/>
      <c r="D18" s="179"/>
      <c r="E18" s="179"/>
      <c r="F18" s="116" t="s">
        <v>864</v>
      </c>
      <c r="G18" s="114" t="s">
        <v>54</v>
      </c>
      <c r="H18" s="179"/>
      <c r="I18" s="179"/>
      <c r="J18" s="179"/>
    </row>
    <row r="19" spans="1:10" ht="55.5" customHeight="1" thickBot="1">
      <c r="A19" s="265"/>
      <c r="B19" s="237" t="s">
        <v>120</v>
      </c>
      <c r="C19" s="237" t="s">
        <v>121</v>
      </c>
      <c r="D19" s="197" t="s">
        <v>58</v>
      </c>
      <c r="E19" s="197" t="s">
        <v>39</v>
      </c>
      <c r="F19" s="86">
        <v>100</v>
      </c>
      <c r="G19" s="115" t="s">
        <v>59</v>
      </c>
      <c r="H19" s="197" t="s">
        <v>122</v>
      </c>
      <c r="I19" s="197" t="s">
        <v>123</v>
      </c>
      <c r="J19" s="197" t="s">
        <v>124</v>
      </c>
    </row>
    <row r="20" spans="1:10" ht="28.5" customHeight="1" thickBot="1">
      <c r="A20" s="265"/>
      <c r="B20" s="212"/>
      <c r="C20" s="212"/>
      <c r="D20" s="212"/>
      <c r="E20" s="212"/>
      <c r="F20" s="221" t="s">
        <v>44</v>
      </c>
      <c r="G20" s="222"/>
      <c r="H20" s="212"/>
      <c r="I20" s="212"/>
      <c r="J20" s="212"/>
    </row>
    <row r="21" spans="1:10" ht="70.5" customHeight="1" thickBot="1">
      <c r="A21" s="266"/>
      <c r="B21" s="179"/>
      <c r="C21" s="179"/>
      <c r="D21" s="179"/>
      <c r="E21" s="179"/>
      <c r="F21" s="116">
        <v>7</v>
      </c>
      <c r="G21" s="117" t="s">
        <v>63</v>
      </c>
      <c r="H21" s="179"/>
      <c r="I21" s="179"/>
      <c r="J21" s="179"/>
    </row>
    <row r="22" spans="1:10" ht="107" customHeight="1" thickBot="1">
      <c r="A22" s="254" t="s">
        <v>79</v>
      </c>
      <c r="B22" s="237" t="s">
        <v>125</v>
      </c>
      <c r="C22" s="237" t="s">
        <v>126</v>
      </c>
      <c r="D22" s="197" t="s">
        <v>58</v>
      </c>
      <c r="E22" s="237" t="s">
        <v>39</v>
      </c>
      <c r="F22" s="98">
        <v>100</v>
      </c>
      <c r="G22" s="115" t="s">
        <v>127</v>
      </c>
      <c r="H22" s="197" t="s">
        <v>128</v>
      </c>
      <c r="I22" s="197" t="s">
        <v>129</v>
      </c>
      <c r="J22" s="197" t="s">
        <v>78</v>
      </c>
    </row>
    <row r="23" spans="1:10" ht="19.5" customHeight="1" thickBot="1">
      <c r="A23" s="212"/>
      <c r="B23" s="212"/>
      <c r="C23" s="212"/>
      <c r="D23" s="212"/>
      <c r="E23" s="212"/>
      <c r="F23" s="269" t="s">
        <v>44</v>
      </c>
      <c r="G23" s="222"/>
      <c r="H23" s="212"/>
      <c r="I23" s="212"/>
      <c r="J23" s="212"/>
    </row>
    <row r="24" spans="1:10" ht="58.5" customHeight="1" thickBot="1">
      <c r="A24" s="212"/>
      <c r="B24" s="179"/>
      <c r="C24" s="179"/>
      <c r="D24" s="179"/>
      <c r="E24" s="179"/>
      <c r="F24" s="134">
        <v>6</v>
      </c>
      <c r="G24" s="117" t="s">
        <v>63</v>
      </c>
      <c r="H24" s="179"/>
      <c r="I24" s="179"/>
      <c r="J24" s="179"/>
    </row>
    <row r="25" spans="1:10" ht="64.5" customHeight="1" thickBot="1">
      <c r="A25" s="212"/>
      <c r="B25" s="237" t="s">
        <v>130</v>
      </c>
      <c r="C25" s="237" t="s">
        <v>131</v>
      </c>
      <c r="D25" s="197" t="s">
        <v>58</v>
      </c>
      <c r="E25" s="268" t="s">
        <v>39</v>
      </c>
      <c r="F25" s="86">
        <v>100</v>
      </c>
      <c r="G25" s="115" t="s">
        <v>132</v>
      </c>
      <c r="H25" s="197" t="s">
        <v>133</v>
      </c>
      <c r="I25" s="197" t="s">
        <v>134</v>
      </c>
      <c r="J25" s="197" t="s">
        <v>135</v>
      </c>
    </row>
    <row r="26" spans="1:10" ht="23.25" customHeight="1" thickBot="1">
      <c r="A26" s="212"/>
      <c r="B26" s="212"/>
      <c r="C26" s="212"/>
      <c r="D26" s="212"/>
      <c r="E26" s="212"/>
      <c r="F26" s="221" t="s">
        <v>44</v>
      </c>
      <c r="G26" s="222"/>
      <c r="H26" s="212"/>
      <c r="I26" s="212"/>
      <c r="J26" s="212"/>
    </row>
    <row r="27" spans="1:10" ht="48.75" customHeight="1" thickBot="1">
      <c r="A27" s="179"/>
      <c r="B27" s="179"/>
      <c r="C27" s="179"/>
      <c r="D27" s="179"/>
      <c r="E27" s="179"/>
      <c r="F27" s="118">
        <v>7</v>
      </c>
      <c r="G27" s="117" t="s">
        <v>63</v>
      </c>
      <c r="H27" s="179"/>
      <c r="I27" s="179"/>
      <c r="J27" s="179"/>
    </row>
  </sheetData>
  <mergeCells count="78">
    <mergeCell ref="I22:I24"/>
    <mergeCell ref="J22:J24"/>
    <mergeCell ref="F23:G23"/>
    <mergeCell ref="B25:B27"/>
    <mergeCell ref="C25:C27"/>
    <mergeCell ref="D25:D27"/>
    <mergeCell ref="E25:E27"/>
    <mergeCell ref="H25:H27"/>
    <mergeCell ref="I25:I27"/>
    <mergeCell ref="J25:J27"/>
    <mergeCell ref="H22:H24"/>
    <mergeCell ref="F26:G26"/>
    <mergeCell ref="A22:A27"/>
    <mergeCell ref="B22:B24"/>
    <mergeCell ref="C22:C24"/>
    <mergeCell ref="D22:D24"/>
    <mergeCell ref="E22:E24"/>
    <mergeCell ref="J16:J18"/>
    <mergeCell ref="F17:G17"/>
    <mergeCell ref="B19:B21"/>
    <mergeCell ref="C19:C21"/>
    <mergeCell ref="D19:D21"/>
    <mergeCell ref="E19:E21"/>
    <mergeCell ref="H19:H21"/>
    <mergeCell ref="I19:I21"/>
    <mergeCell ref="J19:J21"/>
    <mergeCell ref="F20:G20"/>
    <mergeCell ref="I13:I15"/>
    <mergeCell ref="J13:J15"/>
    <mergeCell ref="F14:G14"/>
    <mergeCell ref="A16:A21"/>
    <mergeCell ref="B16:B18"/>
    <mergeCell ref="C16:C18"/>
    <mergeCell ref="D16:D18"/>
    <mergeCell ref="E16:E18"/>
    <mergeCell ref="H16:H18"/>
    <mergeCell ref="I16:I18"/>
    <mergeCell ref="A13:A15"/>
    <mergeCell ref="B13:B15"/>
    <mergeCell ref="C13:C15"/>
    <mergeCell ref="D13:D15"/>
    <mergeCell ref="E13:E15"/>
    <mergeCell ref="H13:H15"/>
    <mergeCell ref="J8:J9"/>
    <mergeCell ref="A10:A12"/>
    <mergeCell ref="B10:B12"/>
    <mergeCell ref="C10:C12"/>
    <mergeCell ref="D10:D12"/>
    <mergeCell ref="E10:E12"/>
    <mergeCell ref="H10:H12"/>
    <mergeCell ref="I10:I12"/>
    <mergeCell ref="J10:J12"/>
    <mergeCell ref="F11:G11"/>
    <mergeCell ref="A8:A9"/>
    <mergeCell ref="B8:B9"/>
    <mergeCell ref="C8:E8"/>
    <mergeCell ref="F8:G9"/>
    <mergeCell ref="H8:H9"/>
    <mergeCell ref="I8:I9"/>
    <mergeCell ref="I5:I6"/>
    <mergeCell ref="J5:J6"/>
    <mergeCell ref="A7:B7"/>
    <mergeCell ref="C7:E7"/>
    <mergeCell ref="F7:H7"/>
    <mergeCell ref="I7:J7"/>
    <mergeCell ref="H5:H6"/>
    <mergeCell ref="B4:C4"/>
    <mergeCell ref="F4:G4"/>
    <mergeCell ref="A5:B5"/>
    <mergeCell ref="C5:E5"/>
    <mergeCell ref="F5:G6"/>
    <mergeCell ref="A1:B2"/>
    <mergeCell ref="C1:G2"/>
    <mergeCell ref="I1:J1"/>
    <mergeCell ref="I2:J2"/>
    <mergeCell ref="A3:D3"/>
    <mergeCell ref="E3:G3"/>
    <mergeCell ref="H3:J3"/>
  </mergeCells>
  <conditionalFormatting sqref="F18">
    <cfRule type="cellIs" dxfId="262" priority="1" stopIfTrue="1" operator="lessThan">
      <formula>$F$16</formula>
    </cfRule>
    <cfRule type="cellIs" dxfId="261" priority="2" stopIfTrue="1" operator="greaterThanOrEqual">
      <formula>$F$16</formula>
    </cfRule>
    <cfRule type="cellIs" dxfId="260" priority="3" operator="lessThan">
      <formula>$F$16</formula>
    </cfRule>
    <cfRule type="cellIs" dxfId="259" priority="4" operator="greaterThanOrEqual">
      <formula>$F$16</formula>
    </cfRule>
  </conditionalFormatting>
  <conditionalFormatting sqref="F21 F24 F27">
    <cfRule type="cellIs" dxfId="258" priority="7" operator="greaterThanOrEqual">
      <formula>80</formula>
    </cfRule>
  </conditionalFormatting>
  <conditionalFormatting sqref="F21">
    <cfRule type="cellIs" dxfId="257" priority="6" operator="lessThan">
      <formula>80</formula>
    </cfRule>
    <cfRule type="cellIs" dxfId="256" priority="10" operator="lessThan">
      <formula>$F$16</formula>
    </cfRule>
    <cfRule type="cellIs" dxfId="255" priority="11" operator="greaterThanOrEqual">
      <formula>$F$16</formula>
    </cfRule>
  </conditionalFormatting>
  <conditionalFormatting sqref="F24 F27">
    <cfRule type="cellIs" dxfId="254" priority="5" operator="lessThan">
      <formula>79</formula>
    </cfRule>
  </conditionalFormatting>
  <conditionalFormatting sqref="F24">
    <cfRule type="cellIs" dxfId="253" priority="12" operator="lessThan">
      <formula>$F$16</formula>
    </cfRule>
    <cfRule type="cellIs" dxfId="252" priority="13" operator="greaterThanOrEqual">
      <formula>$F$16</formula>
    </cfRule>
  </conditionalFormatting>
  <conditionalFormatting sqref="F27">
    <cfRule type="cellIs" dxfId="251" priority="14" operator="lessThan">
      <formula>$F$16</formula>
    </cfRule>
    <cfRule type="cellIs" dxfId="250" priority="15" operator="greaterThanOrEqual">
      <formula>$F$16</formula>
    </cfRule>
  </conditionalFormatting>
  <conditionalFormatting sqref="J4">
    <cfRule type="cellIs" dxfId="249" priority="8" operator="lessThan">
      <formula>$H$4</formula>
    </cfRule>
    <cfRule type="cellIs" dxfId="248" priority="9" operator="greaterThan">
      <formula>$H$4</formula>
    </cfRule>
  </conditionalFormatting>
  <pageMargins left="0.25" right="0.25" top="0.75" bottom="0.75" header="0" footer="0"/>
  <pageSetup scale="21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>
    <outlinePr summaryBelow="0" summaryRight="0"/>
  </sheetPr>
  <dimension ref="A1:T1000"/>
  <sheetViews>
    <sheetView workbookViewId="0"/>
  </sheetViews>
  <sheetFormatPr baseColWidth="10" defaultColWidth="11.1640625" defaultRowHeight="15" customHeight="1"/>
  <sheetData>
    <row r="1" spans="1:20">
      <c r="A1" s="5" t="str">
        <f ca="1">IFERROR(__xludf.DUMMYFUNCTION("IMPORTRANGE(""https://docs.google.com/spreadsheets/d/10IqGK8hPttXMfMGKFeSIUOsu5FYmsc1T33xvKX4SQDw/edit?gid=1689415533#gid=1689415533"",""SECRETARIA 24-25!A1:T"")"),"DEPENDENCIA")</f>
        <v>DEPENDENCIA</v>
      </c>
      <c r="B1" s="5" t="str">
        <f ca="1">IFERROR(__xludf.DUMMYFUNCTION("""COMPUTED_VALUE"""),"SECRETARIA GENERAL")</f>
        <v>SECRETARIA GENERAL</v>
      </c>
      <c r="C1" s="5"/>
      <c r="D1" s="5"/>
      <c r="E1" s="5" t="str">
        <f ca="1">IFERROR(__xludf.DUMMYFUNCTION("""COMPUTED_VALUE"""),"PERIODO")</f>
        <v>PERIODO</v>
      </c>
      <c r="F1" s="5" t="str">
        <f ca="1">IFERROR(__xludf.DUMMYFUNCTION("""COMPUTED_VALUE"""),"OCTUBRE 2024 - SEPTIEMBRE 2025")</f>
        <v>OCTUBRE 2024 - SEPTIEMBRE 2025</v>
      </c>
      <c r="G1" s="5"/>
      <c r="H1" s="5" t="str">
        <f ca="1">IFERROR(__xludf.DUMMYFUNCTION("""COMPUTED_VALUE"""),"SISTEMA MUNICIPAL DE GESTION DE RESULTADOS")</f>
        <v>SISTEMA MUNICIPAL DE GESTION DE RESULTADOS</v>
      </c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</row>
    <row r="2" spans="1:20">
      <c r="A2" s="5" t="str">
        <f ca="1">IFERROR(__xludf.DUMMYFUNCTION("""COMPUTED_VALUE"""),"DEPARTAMENTO")</f>
        <v>DEPARTAMENTO</v>
      </c>
      <c r="B2" s="5" t="str">
        <f ca="1">IFERROR(__xludf.DUMMYFUNCTION("""COMPUTED_VALUE"""),"INDICADORES")</f>
        <v>INDICADORES</v>
      </c>
      <c r="C2" s="5" t="str">
        <f ca="1">IFERROR(__xludf.DUMMYFUNCTION("""COMPUTED_VALUE"""),"META ANUAL")</f>
        <v>META ANUAL</v>
      </c>
      <c r="D2" s="5" t="str">
        <f ca="1">IFERROR(__xludf.DUMMYFUNCTION("""COMPUTED_VALUE"""),"UNIDAD DE MEDIDA")</f>
        <v>UNIDAD DE MEDIDA</v>
      </c>
      <c r="E2" s="5" t="str">
        <f ca="1">IFERROR(__xludf.DUMMYFUNCTION("""COMPUTED_VALUE"""),"TIPO DE INDICADOR")</f>
        <v>TIPO DE INDICADOR</v>
      </c>
      <c r="F2" s="5" t="str">
        <f ca="1">IFERROR(__xludf.DUMMYFUNCTION("""COMPUTED_VALUE"""),"MEDIO DE VERIFICACION")</f>
        <v>MEDIO DE VERIFICACION</v>
      </c>
      <c r="G2" s="5" t="str">
        <f ca="1">IFERROR(__xludf.DUMMYFUNCTION("""COMPUTED_VALUE"""),"% AVANCE ")</f>
        <v xml:space="preserve">% AVANCE </v>
      </c>
      <c r="H2" s="5" t="str">
        <f ca="1">IFERROR(__xludf.DUMMYFUNCTION("""COMPUTED_VALUE"""),"OCTUBRE")</f>
        <v>OCTUBRE</v>
      </c>
      <c r="I2" s="5" t="str">
        <f ca="1">IFERROR(__xludf.DUMMYFUNCTION("""COMPUTED_VALUE"""),"NOVIEMBRE")</f>
        <v>NOVIEMBRE</v>
      </c>
      <c r="J2" s="5" t="str">
        <f ca="1">IFERROR(__xludf.DUMMYFUNCTION("""COMPUTED_VALUE"""),"DICIEMBRE")</f>
        <v>DICIEMBRE</v>
      </c>
      <c r="K2" s="5" t="str">
        <f ca="1">IFERROR(__xludf.DUMMYFUNCTION("""COMPUTED_VALUE"""),"ENERO")</f>
        <v>ENERO</v>
      </c>
      <c r="L2" s="5" t="str">
        <f ca="1">IFERROR(__xludf.DUMMYFUNCTION("""COMPUTED_VALUE"""),"FEBRERO")</f>
        <v>FEBRERO</v>
      </c>
      <c r="M2" s="5" t="str">
        <f ca="1">IFERROR(__xludf.DUMMYFUNCTION("""COMPUTED_VALUE"""),"MARZO")</f>
        <v>MARZO</v>
      </c>
      <c r="N2" s="5" t="str">
        <f ca="1">IFERROR(__xludf.DUMMYFUNCTION("""COMPUTED_VALUE"""),"ABRIL")</f>
        <v>ABRIL</v>
      </c>
      <c r="O2" s="5" t="str">
        <f ca="1">IFERROR(__xludf.DUMMYFUNCTION("""COMPUTED_VALUE"""),"MAYO")</f>
        <v>MAYO</v>
      </c>
      <c r="P2" s="5" t="str">
        <f ca="1">IFERROR(__xludf.DUMMYFUNCTION("""COMPUTED_VALUE"""),"JUNIO")</f>
        <v>JUNIO</v>
      </c>
      <c r="Q2" s="5" t="str">
        <f ca="1">IFERROR(__xludf.DUMMYFUNCTION("""COMPUTED_VALUE"""),"JULIO")</f>
        <v>JULIO</v>
      </c>
      <c r="R2" s="5" t="str">
        <f ca="1">IFERROR(__xludf.DUMMYFUNCTION("""COMPUTED_VALUE"""),"AGOSTO")</f>
        <v>AGOSTO</v>
      </c>
      <c r="S2" s="5" t="str">
        <f ca="1">IFERROR(__xludf.DUMMYFUNCTION("""COMPUTED_VALUE"""),"SEPTIEMBRE")</f>
        <v>SEPTIEMBRE</v>
      </c>
      <c r="T2" s="5" t="str">
        <f ca="1">IFERROR(__xludf.DUMMYFUNCTION("""COMPUTED_VALUE"""),"SUMATORIA TOTAL")</f>
        <v>SUMATORIA TOTAL</v>
      </c>
    </row>
    <row r="3" spans="1:20">
      <c r="A3" s="5" t="str">
        <f ca="1">IFERROR(__xludf.DUMMYFUNCTION("""COMPUTED_VALUE"""),"SECRETARIA GENERAL")</f>
        <v>SECRETARIA GENERAL</v>
      </c>
      <c r="B3" s="5" t="str">
        <f ca="1">IFERROR(__xludf.DUMMYFUNCTION("""COMPUTED_VALUE"""),"SESIONES DE AYUNTAMIENTO")</f>
        <v>SESIONES DE AYUNTAMIENTO</v>
      </c>
      <c r="C3" s="5">
        <f ca="1">IFERROR(__xludf.DUMMYFUNCTION("""COMPUTED_VALUE"""),20)</f>
        <v>20</v>
      </c>
      <c r="D3" s="5" t="str">
        <f ca="1">IFERROR(__xludf.DUMMYFUNCTION("""COMPUTED_VALUE"""),"SESIONES")</f>
        <v>SESIONES</v>
      </c>
      <c r="E3" s="5" t="str">
        <f ca="1">IFERROR(__xludf.DUMMYFUNCTION("""COMPUTED_VALUE"""),"ASCENDENTE")</f>
        <v>ASCENDENTE</v>
      </c>
      <c r="F3" s="5" t="str">
        <f ca="1">IFERROR(__xludf.DUMMYFUNCTION("""COMPUTED_VALUE"""),"SESIONES PUBLICAS")</f>
        <v>SESIONES PUBLICAS</v>
      </c>
      <c r="G3" s="5">
        <f ca="1">IFERROR(__xludf.DUMMYFUNCTION("""COMPUTED_VALUE"""),80)</f>
        <v>80</v>
      </c>
      <c r="H3" s="5">
        <f ca="1">IFERROR(__xludf.DUMMYFUNCTION("""COMPUTED_VALUE"""),2)</f>
        <v>2</v>
      </c>
      <c r="I3" s="5">
        <f ca="1">IFERROR(__xludf.DUMMYFUNCTION("""COMPUTED_VALUE"""),1)</f>
        <v>1</v>
      </c>
      <c r="J3" s="5">
        <f ca="1">IFERROR(__xludf.DUMMYFUNCTION("""COMPUTED_VALUE"""),2)</f>
        <v>2</v>
      </c>
      <c r="K3" s="5">
        <f ca="1">IFERROR(__xludf.DUMMYFUNCTION("""COMPUTED_VALUE"""),2)</f>
        <v>2</v>
      </c>
      <c r="L3" s="5">
        <f ca="1">IFERROR(__xludf.DUMMYFUNCTION("""COMPUTED_VALUE"""),2)</f>
        <v>2</v>
      </c>
      <c r="M3" s="5">
        <f ca="1">IFERROR(__xludf.DUMMYFUNCTION("""COMPUTED_VALUE"""),2)</f>
        <v>2</v>
      </c>
      <c r="N3" s="5">
        <f ca="1">IFERROR(__xludf.DUMMYFUNCTION("""COMPUTED_VALUE"""),1)</f>
        <v>1</v>
      </c>
      <c r="O3" s="5">
        <f ca="1">IFERROR(__xludf.DUMMYFUNCTION("""COMPUTED_VALUE"""),2)</f>
        <v>2</v>
      </c>
      <c r="P3" s="5">
        <f ca="1">IFERROR(__xludf.DUMMYFUNCTION("""COMPUTED_VALUE"""),2)</f>
        <v>2</v>
      </c>
      <c r="Q3" s="5">
        <f ca="1">IFERROR(__xludf.DUMMYFUNCTION("""COMPUTED_VALUE"""),0)</f>
        <v>0</v>
      </c>
      <c r="R3" s="5">
        <f ca="1">IFERROR(__xludf.DUMMYFUNCTION("""COMPUTED_VALUE"""),0)</f>
        <v>0</v>
      </c>
      <c r="S3" s="5">
        <f ca="1">IFERROR(__xludf.DUMMYFUNCTION("""COMPUTED_VALUE"""),0)</f>
        <v>0</v>
      </c>
      <c r="T3" s="5">
        <f ca="1">IFERROR(__xludf.DUMMYFUNCTION("""COMPUTED_VALUE"""),16)</f>
        <v>16</v>
      </c>
    </row>
    <row r="4" spans="1:20">
      <c r="A4" s="5"/>
      <c r="B4" s="5" t="str">
        <f ca="1">IFERROR(__xludf.DUMMYFUNCTION("""COMPUTED_VALUE"""),"CONSTANCIAS")</f>
        <v>CONSTANCIAS</v>
      </c>
      <c r="C4" s="5">
        <f ca="1">IFERROR(__xludf.DUMMYFUNCTION("""COMPUTED_VALUE"""),1200)</f>
        <v>1200</v>
      </c>
      <c r="D4" s="5" t="str">
        <f ca="1">IFERROR(__xludf.DUMMYFUNCTION("""COMPUTED_VALUE"""),"CONSTANCIAS")</f>
        <v>CONSTANCIAS</v>
      </c>
      <c r="E4" s="5" t="str">
        <f ca="1">IFERROR(__xludf.DUMMYFUNCTION("""COMPUTED_VALUE"""),"ASCENDENTE")</f>
        <v>ASCENDENTE</v>
      </c>
      <c r="F4" s="5" t="str">
        <f ca="1">IFERROR(__xludf.DUMMYFUNCTION("""COMPUTED_VALUE"""),"BITACORA DE ATENCION")</f>
        <v>BITACORA DE ATENCION</v>
      </c>
      <c r="G4" s="5">
        <f ca="1">IFERROR(__xludf.DUMMYFUNCTION("""COMPUTED_VALUE"""),82.5)</f>
        <v>82.5</v>
      </c>
      <c r="H4" s="5">
        <f ca="1">IFERROR(__xludf.DUMMYFUNCTION("""COMPUTED_VALUE"""),91)</f>
        <v>91</v>
      </c>
      <c r="I4" s="5">
        <f ca="1">IFERROR(__xludf.DUMMYFUNCTION("""COMPUTED_VALUE"""),113)</f>
        <v>113</v>
      </c>
      <c r="J4" s="5">
        <f ca="1">IFERROR(__xludf.DUMMYFUNCTION("""COMPUTED_VALUE"""),100)</f>
        <v>100</v>
      </c>
      <c r="K4" s="5">
        <f ca="1">IFERROR(__xludf.DUMMYFUNCTION("""COMPUTED_VALUE"""),97)</f>
        <v>97</v>
      </c>
      <c r="L4" s="5">
        <f ca="1">IFERROR(__xludf.DUMMYFUNCTION("""COMPUTED_VALUE"""),109)</f>
        <v>109</v>
      </c>
      <c r="M4" s="5">
        <f ca="1">IFERROR(__xludf.DUMMYFUNCTION("""COMPUTED_VALUE"""),89)</f>
        <v>89</v>
      </c>
      <c r="N4" s="5">
        <f ca="1">IFERROR(__xludf.DUMMYFUNCTION("""COMPUTED_VALUE"""),97)</f>
        <v>97</v>
      </c>
      <c r="O4" s="5">
        <f ca="1">IFERROR(__xludf.DUMMYFUNCTION("""COMPUTED_VALUE"""),114)</f>
        <v>114</v>
      </c>
      <c r="P4" s="5">
        <f ca="1">IFERROR(__xludf.DUMMYFUNCTION("""COMPUTED_VALUE"""),180)</f>
        <v>180</v>
      </c>
      <c r="Q4" s="5">
        <f ca="1">IFERROR(__xludf.DUMMYFUNCTION("""COMPUTED_VALUE"""),0)</f>
        <v>0</v>
      </c>
      <c r="R4" s="5">
        <f ca="1">IFERROR(__xludf.DUMMYFUNCTION("""COMPUTED_VALUE"""),0)</f>
        <v>0</v>
      </c>
      <c r="S4" s="5">
        <f ca="1">IFERROR(__xludf.DUMMYFUNCTION("""COMPUTED_VALUE"""),0)</f>
        <v>0</v>
      </c>
      <c r="T4" s="5">
        <f ca="1">IFERROR(__xludf.DUMMYFUNCTION("""COMPUTED_VALUE"""),990)</f>
        <v>990</v>
      </c>
    </row>
    <row r="5" spans="1:20">
      <c r="A5" s="5"/>
      <c r="B5" s="5" t="str">
        <f ca="1">IFERROR(__xludf.DUMMYFUNCTION("""COMPUTED_VALUE"""),"TRAMITES DE CARTILLA")</f>
        <v>TRAMITES DE CARTILLA</v>
      </c>
      <c r="C5" s="5">
        <f ca="1">IFERROR(__xludf.DUMMYFUNCTION("""COMPUTED_VALUE"""),80)</f>
        <v>80</v>
      </c>
      <c r="D5" s="5" t="str">
        <f ca="1">IFERROR(__xludf.DUMMYFUNCTION("""COMPUTED_VALUE"""),"PRECARTILLAS ")</f>
        <v xml:space="preserve">PRECARTILLAS </v>
      </c>
      <c r="E5" s="5" t="str">
        <f ca="1">IFERROR(__xludf.DUMMYFUNCTION("""COMPUTED_VALUE"""),"ASCENDENTE")</f>
        <v>ASCENDENTE</v>
      </c>
      <c r="F5" s="5" t="str">
        <f ca="1">IFERROR(__xludf.DUMMYFUNCTION("""COMPUTED_VALUE"""),"BITACORA DE ATENCION")</f>
        <v>BITACORA DE ATENCION</v>
      </c>
      <c r="G5" s="5">
        <f ca="1">IFERROR(__xludf.DUMMYFUNCTION("""COMPUTED_VALUE"""),80)</f>
        <v>80</v>
      </c>
      <c r="H5" s="5">
        <f ca="1">IFERROR(__xludf.DUMMYFUNCTION("""COMPUTED_VALUE"""),0)</f>
        <v>0</v>
      </c>
      <c r="I5" s="5">
        <f ca="1">IFERROR(__xludf.DUMMYFUNCTION("""COMPUTED_VALUE"""),0)</f>
        <v>0</v>
      </c>
      <c r="J5" s="5">
        <f ca="1">IFERROR(__xludf.DUMMYFUNCTION("""COMPUTED_VALUE"""),0)</f>
        <v>0</v>
      </c>
      <c r="K5" s="5">
        <f ca="1">IFERROR(__xludf.DUMMYFUNCTION("""COMPUTED_VALUE"""),2)</f>
        <v>2</v>
      </c>
      <c r="L5" s="5">
        <f ca="1">IFERROR(__xludf.DUMMYFUNCTION("""COMPUTED_VALUE"""),32)</f>
        <v>32</v>
      </c>
      <c r="M5" s="5">
        <f ca="1">IFERROR(__xludf.DUMMYFUNCTION("""COMPUTED_VALUE"""),21)</f>
        <v>21</v>
      </c>
      <c r="N5" s="5">
        <f ca="1">IFERROR(__xludf.DUMMYFUNCTION("""COMPUTED_VALUE"""),6)</f>
        <v>6</v>
      </c>
      <c r="O5" s="5">
        <f ca="1">IFERROR(__xludf.DUMMYFUNCTION("""COMPUTED_VALUE"""),1)</f>
        <v>1</v>
      </c>
      <c r="P5" s="5">
        <f ca="1">IFERROR(__xludf.DUMMYFUNCTION("""COMPUTED_VALUE"""),2)</f>
        <v>2</v>
      </c>
      <c r="Q5" s="5">
        <f ca="1">IFERROR(__xludf.DUMMYFUNCTION("""COMPUTED_VALUE"""),0)</f>
        <v>0</v>
      </c>
      <c r="R5" s="5">
        <f ca="1">IFERROR(__xludf.DUMMYFUNCTION("""COMPUTED_VALUE"""),0)</f>
        <v>0</v>
      </c>
      <c r="S5" s="5">
        <f ca="1">IFERROR(__xludf.DUMMYFUNCTION("""COMPUTED_VALUE"""),0)</f>
        <v>0</v>
      </c>
      <c r="T5" s="5">
        <f ca="1">IFERROR(__xludf.DUMMYFUNCTION("""COMPUTED_VALUE"""),64)</f>
        <v>64</v>
      </c>
    </row>
    <row r="6" spans="1:20">
      <c r="A6" s="5" t="str">
        <f ca="1">IFERROR(__xludf.DUMMYFUNCTION("""COMPUTED_VALUE"""),"CEMENTERIOS")</f>
        <v>CEMENTERIOS</v>
      </c>
      <c r="B6" s="5" t="str">
        <f ca="1">IFERROR(__xludf.DUMMYFUNCTION("""COMPUTED_VALUE"""),"TITULOS DE CONCESION")</f>
        <v>TITULOS DE CONCESION</v>
      </c>
      <c r="C6" s="5">
        <f ca="1">IFERROR(__xludf.DUMMYFUNCTION("""COMPUTED_VALUE"""),45)</f>
        <v>45</v>
      </c>
      <c r="D6" s="5" t="str">
        <f ca="1">IFERROR(__xludf.DUMMYFUNCTION("""COMPUTED_VALUE"""),"TITULOS")</f>
        <v>TITULOS</v>
      </c>
      <c r="E6" s="5" t="str">
        <f ca="1">IFERROR(__xludf.DUMMYFUNCTION("""COMPUTED_VALUE"""),"ASCENDENTE")</f>
        <v>ASCENDENTE</v>
      </c>
      <c r="F6" s="5" t="str">
        <f ca="1">IFERROR(__xludf.DUMMYFUNCTION("""COMPUTED_VALUE"""),"BITACORA OPERATIVA")</f>
        <v>BITACORA OPERATIVA</v>
      </c>
      <c r="G6" s="5">
        <f ca="1">IFERROR(__xludf.DUMMYFUNCTION("""COMPUTED_VALUE"""),77.7777777777777)</f>
        <v>77.7777777777777</v>
      </c>
      <c r="H6" s="5">
        <f ca="1">IFERROR(__xludf.DUMMYFUNCTION("""COMPUTED_VALUE"""),2)</f>
        <v>2</v>
      </c>
      <c r="I6" s="5">
        <f ca="1">IFERROR(__xludf.DUMMYFUNCTION("""COMPUTED_VALUE"""),3)</f>
        <v>3</v>
      </c>
      <c r="J6" s="5">
        <f ca="1">IFERROR(__xludf.DUMMYFUNCTION("""COMPUTED_VALUE"""),6)</f>
        <v>6</v>
      </c>
      <c r="K6" s="5">
        <f ca="1">IFERROR(__xludf.DUMMYFUNCTION("""COMPUTED_VALUE"""),4)</f>
        <v>4</v>
      </c>
      <c r="L6" s="5">
        <f ca="1">IFERROR(__xludf.DUMMYFUNCTION("""COMPUTED_VALUE"""),4)</f>
        <v>4</v>
      </c>
      <c r="M6" s="5">
        <f ca="1">IFERROR(__xludf.DUMMYFUNCTION("""COMPUTED_VALUE"""),4)</f>
        <v>4</v>
      </c>
      <c r="N6" s="5">
        <f ca="1">IFERROR(__xludf.DUMMYFUNCTION("""COMPUTED_VALUE"""),1)</f>
        <v>1</v>
      </c>
      <c r="O6" s="5">
        <f ca="1">IFERROR(__xludf.DUMMYFUNCTION("""COMPUTED_VALUE"""),7)</f>
        <v>7</v>
      </c>
      <c r="P6" s="5">
        <f ca="1">IFERROR(__xludf.DUMMYFUNCTION("""COMPUTED_VALUE"""),4)</f>
        <v>4</v>
      </c>
      <c r="Q6" s="5">
        <f ca="1">IFERROR(__xludf.DUMMYFUNCTION("""COMPUTED_VALUE"""),0)</f>
        <v>0</v>
      </c>
      <c r="R6" s="5">
        <f ca="1">IFERROR(__xludf.DUMMYFUNCTION("""COMPUTED_VALUE"""),0)</f>
        <v>0</v>
      </c>
      <c r="S6" s="5">
        <f ca="1">IFERROR(__xludf.DUMMYFUNCTION("""COMPUTED_VALUE"""),0)</f>
        <v>0</v>
      </c>
      <c r="T6" s="5">
        <f ca="1">IFERROR(__xludf.DUMMYFUNCTION("""COMPUTED_VALUE"""),35)</f>
        <v>35</v>
      </c>
    </row>
    <row r="7" spans="1:20">
      <c r="A7" s="5"/>
      <c r="B7" s="5" t="str">
        <f ca="1">IFERROR(__xludf.DUMMYFUNCTION("""COMPUTED_VALUE"""),"EXHUMACIONES")</f>
        <v>EXHUMACIONES</v>
      </c>
      <c r="C7" s="5">
        <f ca="1">IFERROR(__xludf.DUMMYFUNCTION("""COMPUTED_VALUE"""),138)</f>
        <v>138</v>
      </c>
      <c r="D7" s="5" t="str">
        <f ca="1">IFERROR(__xludf.DUMMYFUNCTION("""COMPUTED_VALUE"""),"EXHUMACIONES")</f>
        <v>EXHUMACIONES</v>
      </c>
      <c r="E7" s="5" t="str">
        <f ca="1">IFERROR(__xludf.DUMMYFUNCTION("""COMPUTED_VALUE"""),"ASCENDENTE")</f>
        <v>ASCENDENTE</v>
      </c>
      <c r="F7" s="5" t="str">
        <f ca="1">IFERROR(__xludf.DUMMYFUNCTION("""COMPUTED_VALUE"""),"BITACORA OPERATIVA")</f>
        <v>BITACORA OPERATIVA</v>
      </c>
      <c r="G7" s="5">
        <f ca="1">IFERROR(__xludf.DUMMYFUNCTION("""COMPUTED_VALUE"""),84.7826086956521)</f>
        <v>84.782608695652101</v>
      </c>
      <c r="H7" s="5">
        <f ca="1">IFERROR(__xludf.DUMMYFUNCTION("""COMPUTED_VALUE"""),11)</f>
        <v>11</v>
      </c>
      <c r="I7" s="5">
        <f ca="1">IFERROR(__xludf.DUMMYFUNCTION("""COMPUTED_VALUE"""),21)</f>
        <v>21</v>
      </c>
      <c r="J7" s="5">
        <f ca="1">IFERROR(__xludf.DUMMYFUNCTION("""COMPUTED_VALUE"""),11)</f>
        <v>11</v>
      </c>
      <c r="K7" s="5">
        <f ca="1">IFERROR(__xludf.DUMMYFUNCTION("""COMPUTED_VALUE"""),20)</f>
        <v>20</v>
      </c>
      <c r="L7" s="5">
        <f ca="1">IFERROR(__xludf.DUMMYFUNCTION("""COMPUTED_VALUE"""),10)</f>
        <v>10</v>
      </c>
      <c r="M7" s="5">
        <f ca="1">IFERROR(__xludf.DUMMYFUNCTION("""COMPUTED_VALUE"""),15)</f>
        <v>15</v>
      </c>
      <c r="N7" s="5">
        <f ca="1">IFERROR(__xludf.DUMMYFUNCTION("""COMPUTED_VALUE"""),4)</f>
        <v>4</v>
      </c>
      <c r="O7" s="5">
        <f ca="1">IFERROR(__xludf.DUMMYFUNCTION("""COMPUTED_VALUE"""),11)</f>
        <v>11</v>
      </c>
      <c r="P7" s="5">
        <f ca="1">IFERROR(__xludf.DUMMYFUNCTION("""COMPUTED_VALUE"""),14)</f>
        <v>14</v>
      </c>
      <c r="Q7" s="5">
        <f ca="1">IFERROR(__xludf.DUMMYFUNCTION("""COMPUTED_VALUE"""),0)</f>
        <v>0</v>
      </c>
      <c r="R7" s="5">
        <f ca="1">IFERROR(__xludf.DUMMYFUNCTION("""COMPUTED_VALUE"""),0)</f>
        <v>0</v>
      </c>
      <c r="S7" s="5">
        <f ca="1">IFERROR(__xludf.DUMMYFUNCTION("""COMPUTED_VALUE"""),0)</f>
        <v>0</v>
      </c>
      <c r="T7" s="5">
        <f ca="1">IFERROR(__xludf.DUMMYFUNCTION("""COMPUTED_VALUE"""),117)</f>
        <v>117</v>
      </c>
    </row>
    <row r="8" spans="1:20">
      <c r="A8" s="5"/>
      <c r="B8" s="5" t="str">
        <f ca="1">IFERROR(__xludf.DUMMYFUNCTION("""COMPUTED_VALUE"""),"CAMBIOS DE PROPIETARIO")</f>
        <v>CAMBIOS DE PROPIETARIO</v>
      </c>
      <c r="C8" s="5">
        <f ca="1">IFERROR(__xludf.DUMMYFUNCTION("""COMPUTED_VALUE"""),38)</f>
        <v>38</v>
      </c>
      <c r="D8" s="5" t="str">
        <f ca="1">IFERROR(__xludf.DUMMYFUNCTION("""COMPUTED_VALUE"""),"CAMBIOS")</f>
        <v>CAMBIOS</v>
      </c>
      <c r="E8" s="5" t="str">
        <f ca="1">IFERROR(__xludf.DUMMYFUNCTION("""COMPUTED_VALUE"""),"ASCENDENTE")</f>
        <v>ASCENDENTE</v>
      </c>
      <c r="F8" s="5" t="str">
        <f ca="1">IFERROR(__xludf.DUMMYFUNCTION("""COMPUTED_VALUE"""),"BITACORA OPERATIVA")</f>
        <v>BITACORA OPERATIVA</v>
      </c>
      <c r="G8" s="5">
        <f ca="1">IFERROR(__xludf.DUMMYFUNCTION("""COMPUTED_VALUE"""),76.3157894736842)</f>
        <v>76.315789473684205</v>
      </c>
      <c r="H8" s="5">
        <f ca="1">IFERROR(__xludf.DUMMYFUNCTION("""COMPUTED_VALUE"""),2)</f>
        <v>2</v>
      </c>
      <c r="I8" s="5">
        <f ca="1">IFERROR(__xludf.DUMMYFUNCTION("""COMPUTED_VALUE"""),6)</f>
        <v>6</v>
      </c>
      <c r="J8" s="5">
        <f ca="1">IFERROR(__xludf.DUMMYFUNCTION("""COMPUTED_VALUE"""),4)</f>
        <v>4</v>
      </c>
      <c r="K8" s="5">
        <f ca="1">IFERROR(__xludf.DUMMYFUNCTION("""COMPUTED_VALUE"""),2)</f>
        <v>2</v>
      </c>
      <c r="L8" s="5">
        <f ca="1">IFERROR(__xludf.DUMMYFUNCTION("""COMPUTED_VALUE"""),3)</f>
        <v>3</v>
      </c>
      <c r="M8" s="5">
        <f ca="1">IFERROR(__xludf.DUMMYFUNCTION("""COMPUTED_VALUE"""),2)</f>
        <v>2</v>
      </c>
      <c r="N8" s="5">
        <f ca="1">IFERROR(__xludf.DUMMYFUNCTION("""COMPUTED_VALUE"""),2)</f>
        <v>2</v>
      </c>
      <c r="O8" s="5">
        <f ca="1">IFERROR(__xludf.DUMMYFUNCTION("""COMPUTED_VALUE"""),1)</f>
        <v>1</v>
      </c>
      <c r="P8" s="5">
        <f ca="1">IFERROR(__xludf.DUMMYFUNCTION("""COMPUTED_VALUE"""),7)</f>
        <v>7</v>
      </c>
      <c r="Q8" s="5">
        <f ca="1">IFERROR(__xludf.DUMMYFUNCTION("""COMPUTED_VALUE"""),0)</f>
        <v>0</v>
      </c>
      <c r="R8" s="5">
        <f ca="1">IFERROR(__xludf.DUMMYFUNCTION("""COMPUTED_VALUE"""),0)</f>
        <v>0</v>
      </c>
      <c r="S8" s="5">
        <f ca="1">IFERROR(__xludf.DUMMYFUNCTION("""COMPUTED_VALUE"""),0)</f>
        <v>0</v>
      </c>
      <c r="T8" s="5">
        <f ca="1">IFERROR(__xludf.DUMMYFUNCTION("""COMPUTED_VALUE"""),29)</f>
        <v>29</v>
      </c>
    </row>
    <row r="9" spans="1:20">
      <c r="A9" s="5"/>
      <c r="B9" s="5" t="str">
        <f ca="1">IFERROR(__xludf.DUMMYFUNCTION("""COMPUTED_VALUE"""),"MANTENIMIENTO DE FOSA")</f>
        <v>MANTENIMIENTO DE FOSA</v>
      </c>
      <c r="C9" s="5">
        <f ca="1">IFERROR(__xludf.DUMMYFUNCTION("""COMPUTED_VALUE"""),1300)</f>
        <v>1300</v>
      </c>
      <c r="D9" s="5" t="str">
        <f ca="1">IFERROR(__xludf.DUMMYFUNCTION("""COMPUTED_VALUE"""),"MANTENIMIENTOS")</f>
        <v>MANTENIMIENTOS</v>
      </c>
      <c r="E9" s="5" t="str">
        <f ca="1">IFERROR(__xludf.DUMMYFUNCTION("""COMPUTED_VALUE"""),"ASCENDENTE")</f>
        <v>ASCENDENTE</v>
      </c>
      <c r="F9" s="5" t="str">
        <f ca="1">IFERROR(__xludf.DUMMYFUNCTION("""COMPUTED_VALUE"""),"BITACORA OPERATIVA")</f>
        <v>BITACORA OPERATIVA</v>
      </c>
      <c r="G9" s="5">
        <f ca="1">IFERROR(__xludf.DUMMYFUNCTION("""COMPUTED_VALUE"""),93.3846153846153)</f>
        <v>93.384615384615302</v>
      </c>
      <c r="H9" s="5">
        <f ca="1">IFERROR(__xludf.DUMMYFUNCTION("""COMPUTED_VALUE"""),90)</f>
        <v>90</v>
      </c>
      <c r="I9" s="5">
        <f ca="1">IFERROR(__xludf.DUMMYFUNCTION("""COMPUTED_VALUE"""),100)</f>
        <v>100</v>
      </c>
      <c r="J9" s="5">
        <f ca="1">IFERROR(__xludf.DUMMYFUNCTION("""COMPUTED_VALUE"""),104)</f>
        <v>104</v>
      </c>
      <c r="K9" s="5">
        <f ca="1">IFERROR(__xludf.DUMMYFUNCTION("""COMPUTED_VALUE"""),365)</f>
        <v>365</v>
      </c>
      <c r="L9" s="5">
        <f ca="1">IFERROR(__xludf.DUMMYFUNCTION("""COMPUTED_VALUE"""),105)</f>
        <v>105</v>
      </c>
      <c r="M9" s="5">
        <f ca="1">IFERROR(__xludf.DUMMYFUNCTION("""COMPUTED_VALUE"""),115)</f>
        <v>115</v>
      </c>
      <c r="N9" s="5">
        <f ca="1">IFERROR(__xludf.DUMMYFUNCTION("""COMPUTED_VALUE"""),110)</f>
        <v>110</v>
      </c>
      <c r="O9" s="5">
        <f ca="1">IFERROR(__xludf.DUMMYFUNCTION("""COMPUTED_VALUE"""),107)</f>
        <v>107</v>
      </c>
      <c r="P9" s="5">
        <f ca="1">IFERROR(__xludf.DUMMYFUNCTION("""COMPUTED_VALUE"""),118)</f>
        <v>118</v>
      </c>
      <c r="Q9" s="5">
        <f ca="1">IFERROR(__xludf.DUMMYFUNCTION("""COMPUTED_VALUE"""),0)</f>
        <v>0</v>
      </c>
      <c r="R9" s="5">
        <f ca="1">IFERROR(__xludf.DUMMYFUNCTION("""COMPUTED_VALUE"""),0)</f>
        <v>0</v>
      </c>
      <c r="S9" s="5">
        <f ca="1">IFERROR(__xludf.DUMMYFUNCTION("""COMPUTED_VALUE"""),0)</f>
        <v>0</v>
      </c>
      <c r="T9" s="5">
        <f ca="1">IFERROR(__xludf.DUMMYFUNCTION("""COMPUTED_VALUE"""),1214)</f>
        <v>1214</v>
      </c>
    </row>
    <row r="10" spans="1:20">
      <c r="A10" s="5"/>
      <c r="B10" s="5" t="str">
        <f ca="1">IFERROR(__xludf.DUMMYFUNCTION("""COMPUTED_VALUE"""),"TRAMITE DE REGULARIZACION")</f>
        <v>TRAMITE DE REGULARIZACION</v>
      </c>
      <c r="C10" s="5">
        <f ca="1">IFERROR(__xludf.DUMMYFUNCTION("""COMPUTED_VALUE"""),60)</f>
        <v>60</v>
      </c>
      <c r="D10" s="5" t="str">
        <f ca="1">IFERROR(__xludf.DUMMYFUNCTION("""COMPUTED_VALUE"""),"TRAMITES REALIZADOS")</f>
        <v>TRAMITES REALIZADOS</v>
      </c>
      <c r="E10" s="5" t="str">
        <f ca="1">IFERROR(__xludf.DUMMYFUNCTION("""COMPUTED_VALUE"""),"ASCENDENTE")</f>
        <v>ASCENDENTE</v>
      </c>
      <c r="F10" s="5" t="str">
        <f ca="1">IFERROR(__xludf.DUMMYFUNCTION("""COMPUTED_VALUE"""),"BITACORA OPERATIVA")</f>
        <v>BITACORA OPERATIVA</v>
      </c>
      <c r="G10" s="5">
        <f ca="1">IFERROR(__xludf.DUMMYFUNCTION("""COMPUTED_VALUE"""),91.6666666666666)</f>
        <v>91.6666666666666</v>
      </c>
      <c r="H10" s="5">
        <f ca="1">IFERROR(__xludf.DUMMYFUNCTION("""COMPUTED_VALUE"""),2)</f>
        <v>2</v>
      </c>
      <c r="I10" s="5">
        <f ca="1">IFERROR(__xludf.DUMMYFUNCTION("""COMPUTED_VALUE"""),6)</f>
        <v>6</v>
      </c>
      <c r="J10" s="5">
        <f ca="1">IFERROR(__xludf.DUMMYFUNCTION("""COMPUTED_VALUE"""),6)</f>
        <v>6</v>
      </c>
      <c r="K10" s="5">
        <f ca="1">IFERROR(__xludf.DUMMYFUNCTION("""COMPUTED_VALUE"""),7)</f>
        <v>7</v>
      </c>
      <c r="L10" s="5">
        <f ca="1">IFERROR(__xludf.DUMMYFUNCTION("""COMPUTED_VALUE"""),6)</f>
        <v>6</v>
      </c>
      <c r="M10" s="5">
        <f ca="1">IFERROR(__xludf.DUMMYFUNCTION("""COMPUTED_VALUE"""),7)</f>
        <v>7</v>
      </c>
      <c r="N10" s="5">
        <f ca="1">IFERROR(__xludf.DUMMYFUNCTION("""COMPUTED_VALUE"""),2)</f>
        <v>2</v>
      </c>
      <c r="O10" s="5">
        <f ca="1">IFERROR(__xludf.DUMMYFUNCTION("""COMPUTED_VALUE"""),3)</f>
        <v>3</v>
      </c>
      <c r="P10" s="5">
        <f ca="1">IFERROR(__xludf.DUMMYFUNCTION("""COMPUTED_VALUE"""),16)</f>
        <v>16</v>
      </c>
      <c r="Q10" s="5">
        <f ca="1">IFERROR(__xludf.DUMMYFUNCTION("""COMPUTED_VALUE"""),0)</f>
        <v>0</v>
      </c>
      <c r="R10" s="5">
        <f ca="1">IFERROR(__xludf.DUMMYFUNCTION("""COMPUTED_VALUE"""),0)</f>
        <v>0</v>
      </c>
      <c r="S10" s="5">
        <f ca="1">IFERROR(__xludf.DUMMYFUNCTION("""COMPUTED_VALUE"""),0)</f>
        <v>0</v>
      </c>
      <c r="T10" s="5">
        <f ca="1">IFERROR(__xludf.DUMMYFUNCTION("""COMPUTED_VALUE"""),55)</f>
        <v>55</v>
      </c>
    </row>
    <row r="11" spans="1:20">
      <c r="A11" s="5" t="str">
        <f ca="1">IFERROR(__xludf.DUMMYFUNCTION("""COMPUTED_VALUE"""),"REGISTRO CIVIL")</f>
        <v>REGISTRO CIVIL</v>
      </c>
      <c r="B11" s="5" t="str">
        <f ca="1">IFERROR(__xludf.DUMMYFUNCTION("""COMPUTED_VALUE"""),"NACIMIENTOS")</f>
        <v>NACIMIENTOS</v>
      </c>
      <c r="C11" s="5">
        <f ca="1">IFERROR(__xludf.DUMMYFUNCTION("""COMPUTED_VALUE"""),1100)</f>
        <v>1100</v>
      </c>
      <c r="D11" s="5" t="str">
        <f ca="1">IFERROR(__xludf.DUMMYFUNCTION("""COMPUTED_VALUE"""),"NACIMIENTOS")</f>
        <v>NACIMIENTOS</v>
      </c>
      <c r="E11" s="5" t="str">
        <f ca="1">IFERROR(__xludf.DUMMYFUNCTION("""COMPUTED_VALUE"""),"ASCENDENTE")</f>
        <v>ASCENDENTE</v>
      </c>
      <c r="F11" s="5" t="str">
        <f ca="1">IFERROR(__xludf.DUMMYFUNCTION("""COMPUTED_VALUE"""),"BITACORA OPERATIVA")</f>
        <v>BITACORA OPERATIVA</v>
      </c>
      <c r="G11" s="5">
        <f ca="1">IFERROR(__xludf.DUMMYFUNCTION("""COMPUTED_VALUE"""),73.1818181818181)</f>
        <v>73.181818181818102</v>
      </c>
      <c r="H11" s="5">
        <f ca="1">IFERROR(__xludf.DUMMYFUNCTION("""COMPUTED_VALUE"""),68)</f>
        <v>68</v>
      </c>
      <c r="I11" s="5">
        <f ca="1">IFERROR(__xludf.DUMMYFUNCTION("""COMPUTED_VALUE"""),85)</f>
        <v>85</v>
      </c>
      <c r="J11" s="5">
        <f ca="1">IFERROR(__xludf.DUMMYFUNCTION("""COMPUTED_VALUE"""),91)</f>
        <v>91</v>
      </c>
      <c r="K11" s="5">
        <f ca="1">IFERROR(__xludf.DUMMYFUNCTION("""COMPUTED_VALUE"""),82)</f>
        <v>82</v>
      </c>
      <c r="L11" s="5">
        <f ca="1">IFERROR(__xludf.DUMMYFUNCTION("""COMPUTED_VALUE"""),74)</f>
        <v>74</v>
      </c>
      <c r="M11" s="5">
        <f ca="1">IFERROR(__xludf.DUMMYFUNCTION("""COMPUTED_VALUE"""),68)</f>
        <v>68</v>
      </c>
      <c r="N11" s="5">
        <f ca="1">IFERROR(__xludf.DUMMYFUNCTION("""COMPUTED_VALUE"""),110)</f>
        <v>110</v>
      </c>
      <c r="O11" s="5">
        <f ca="1">IFERROR(__xludf.DUMMYFUNCTION("""COMPUTED_VALUE"""),102)</f>
        <v>102</v>
      </c>
      <c r="P11" s="5">
        <f ca="1">IFERROR(__xludf.DUMMYFUNCTION("""COMPUTED_VALUE"""),125)</f>
        <v>125</v>
      </c>
      <c r="Q11" s="5">
        <f ca="1">IFERROR(__xludf.DUMMYFUNCTION("""COMPUTED_VALUE"""),0)</f>
        <v>0</v>
      </c>
      <c r="R11" s="5">
        <f ca="1">IFERROR(__xludf.DUMMYFUNCTION("""COMPUTED_VALUE"""),0)</f>
        <v>0</v>
      </c>
      <c r="S11" s="5">
        <f ca="1">IFERROR(__xludf.DUMMYFUNCTION("""COMPUTED_VALUE"""),0)</f>
        <v>0</v>
      </c>
      <c r="T11" s="5">
        <f ca="1">IFERROR(__xludf.DUMMYFUNCTION("""COMPUTED_VALUE"""),805)</f>
        <v>805</v>
      </c>
    </row>
    <row r="12" spans="1:20">
      <c r="A12" s="5"/>
      <c r="B12" s="5" t="str">
        <f ca="1">IFERROR(__xludf.DUMMYFUNCTION("""COMPUTED_VALUE"""),"DEFUNCIONES")</f>
        <v>DEFUNCIONES</v>
      </c>
      <c r="C12" s="5">
        <f ca="1">IFERROR(__xludf.DUMMYFUNCTION("""COMPUTED_VALUE"""),530)</f>
        <v>530</v>
      </c>
      <c r="D12" s="5" t="str">
        <f ca="1">IFERROR(__xludf.DUMMYFUNCTION("""COMPUTED_VALUE"""),"DEFUNCIONES")</f>
        <v>DEFUNCIONES</v>
      </c>
      <c r="E12" s="5" t="str">
        <f ca="1">IFERROR(__xludf.DUMMYFUNCTION("""COMPUTED_VALUE"""),"DESCENDENTE")</f>
        <v>DESCENDENTE</v>
      </c>
      <c r="F12" s="5" t="str">
        <f ca="1">IFERROR(__xludf.DUMMYFUNCTION("""COMPUTED_VALUE"""),"BITACORA OPERATIVA")</f>
        <v>BITACORA OPERATIVA</v>
      </c>
      <c r="G12" s="5">
        <f ca="1">IFERROR(__xludf.DUMMYFUNCTION("""COMPUTED_VALUE"""),72.4528301886792)</f>
        <v>72.452830188679201</v>
      </c>
      <c r="H12" s="5">
        <f ca="1">IFERROR(__xludf.DUMMYFUNCTION("""COMPUTED_VALUE"""),42)</f>
        <v>42</v>
      </c>
      <c r="I12" s="5">
        <f ca="1">IFERROR(__xludf.DUMMYFUNCTION("""COMPUTED_VALUE"""),58)</f>
        <v>58</v>
      </c>
      <c r="J12" s="5">
        <f ca="1">IFERROR(__xludf.DUMMYFUNCTION("""COMPUTED_VALUE"""),57)</f>
        <v>57</v>
      </c>
      <c r="K12" s="5">
        <f ca="1">IFERROR(__xludf.DUMMYFUNCTION("""COMPUTED_VALUE"""),62)</f>
        <v>62</v>
      </c>
      <c r="L12" s="5">
        <f ca="1">IFERROR(__xludf.DUMMYFUNCTION("""COMPUTED_VALUE"""),57)</f>
        <v>57</v>
      </c>
      <c r="M12" s="5">
        <f ca="1">IFERROR(__xludf.DUMMYFUNCTION("""COMPUTED_VALUE"""),35)</f>
        <v>35</v>
      </c>
      <c r="N12" s="5">
        <f ca="1">IFERROR(__xludf.DUMMYFUNCTION("""COMPUTED_VALUE"""),28)</f>
        <v>28</v>
      </c>
      <c r="O12" s="5">
        <f ca="1">IFERROR(__xludf.DUMMYFUNCTION("""COMPUTED_VALUE"""),25)</f>
        <v>25</v>
      </c>
      <c r="P12" s="5">
        <f ca="1">IFERROR(__xludf.DUMMYFUNCTION("""COMPUTED_VALUE"""),20)</f>
        <v>20</v>
      </c>
      <c r="Q12" s="5">
        <f ca="1">IFERROR(__xludf.DUMMYFUNCTION("""COMPUTED_VALUE"""),0)</f>
        <v>0</v>
      </c>
      <c r="R12" s="5">
        <f ca="1">IFERROR(__xludf.DUMMYFUNCTION("""COMPUTED_VALUE"""),0)</f>
        <v>0</v>
      </c>
      <c r="S12" s="5">
        <f ca="1">IFERROR(__xludf.DUMMYFUNCTION("""COMPUTED_VALUE"""),0)</f>
        <v>0</v>
      </c>
      <c r="T12" s="5">
        <f ca="1">IFERROR(__xludf.DUMMYFUNCTION("""COMPUTED_VALUE"""),384)</f>
        <v>384</v>
      </c>
    </row>
    <row r="13" spans="1:20">
      <c r="A13" s="5"/>
      <c r="B13" s="5" t="str">
        <f ca="1">IFERROR(__xludf.DUMMYFUNCTION("""COMPUTED_VALUE"""),"DIVORCIOS")</f>
        <v>DIVORCIOS</v>
      </c>
      <c r="C13" s="5">
        <f ca="1">IFERROR(__xludf.DUMMYFUNCTION("""COMPUTED_VALUE"""),92)</f>
        <v>92</v>
      </c>
      <c r="D13" s="5" t="str">
        <f ca="1">IFERROR(__xludf.DUMMYFUNCTION("""COMPUTED_VALUE"""),"DIVORCIOS")</f>
        <v>DIVORCIOS</v>
      </c>
      <c r="E13" s="5" t="str">
        <f ca="1">IFERROR(__xludf.DUMMYFUNCTION("""COMPUTED_VALUE"""),"ASCENDENTE")</f>
        <v>ASCENDENTE</v>
      </c>
      <c r="F13" s="5" t="str">
        <f ca="1">IFERROR(__xludf.DUMMYFUNCTION("""COMPUTED_VALUE"""),"BITACORA OPERATIVA")</f>
        <v>BITACORA OPERATIVA</v>
      </c>
      <c r="G13" s="5">
        <f ca="1">IFERROR(__xludf.DUMMYFUNCTION("""COMPUTED_VALUE"""),85.8695652173913)</f>
        <v>85.869565217391298</v>
      </c>
      <c r="H13" s="5">
        <f ca="1">IFERROR(__xludf.DUMMYFUNCTION("""COMPUTED_VALUE"""),12)</f>
        <v>12</v>
      </c>
      <c r="I13" s="5">
        <f ca="1">IFERROR(__xludf.DUMMYFUNCTION("""COMPUTED_VALUE"""),7)</f>
        <v>7</v>
      </c>
      <c r="J13" s="5">
        <f ca="1">IFERROR(__xludf.DUMMYFUNCTION("""COMPUTED_VALUE"""),11)</f>
        <v>11</v>
      </c>
      <c r="K13" s="5">
        <f ca="1">IFERROR(__xludf.DUMMYFUNCTION("""COMPUTED_VALUE"""),9)</f>
        <v>9</v>
      </c>
      <c r="L13" s="5">
        <f ca="1">IFERROR(__xludf.DUMMYFUNCTION("""COMPUTED_VALUE"""),11)</f>
        <v>11</v>
      </c>
      <c r="M13" s="5">
        <f ca="1">IFERROR(__xludf.DUMMYFUNCTION("""COMPUTED_VALUE"""),7)</f>
        <v>7</v>
      </c>
      <c r="N13" s="5">
        <f ca="1">IFERROR(__xludf.DUMMYFUNCTION("""COMPUTED_VALUE"""),8)</f>
        <v>8</v>
      </c>
      <c r="O13" s="5">
        <f ca="1">IFERROR(__xludf.DUMMYFUNCTION("""COMPUTED_VALUE"""),9)</f>
        <v>9</v>
      </c>
      <c r="P13" s="5">
        <f ca="1">IFERROR(__xludf.DUMMYFUNCTION("""COMPUTED_VALUE"""),5)</f>
        <v>5</v>
      </c>
      <c r="Q13" s="5">
        <f ca="1">IFERROR(__xludf.DUMMYFUNCTION("""COMPUTED_VALUE"""),0)</f>
        <v>0</v>
      </c>
      <c r="R13" s="5">
        <f ca="1">IFERROR(__xludf.DUMMYFUNCTION("""COMPUTED_VALUE"""),0)</f>
        <v>0</v>
      </c>
      <c r="S13" s="5">
        <f ca="1">IFERROR(__xludf.DUMMYFUNCTION("""COMPUTED_VALUE"""),0)</f>
        <v>0</v>
      </c>
      <c r="T13" s="5">
        <f ca="1">IFERROR(__xludf.DUMMYFUNCTION("""COMPUTED_VALUE"""),79)</f>
        <v>79</v>
      </c>
    </row>
    <row r="14" spans="1:20">
      <c r="A14" s="5"/>
      <c r="B14" s="5" t="str">
        <f ca="1">IFERROR(__xludf.DUMMYFUNCTION("""COMPUTED_VALUE"""),"MATRIMONIO")</f>
        <v>MATRIMONIO</v>
      </c>
      <c r="C14" s="5">
        <f ca="1">IFERROR(__xludf.DUMMYFUNCTION("""COMPUTED_VALUE"""),180)</f>
        <v>180</v>
      </c>
      <c r="D14" s="5" t="str">
        <f ca="1">IFERROR(__xludf.DUMMYFUNCTION("""COMPUTED_VALUE"""),"MATRIONIOS")</f>
        <v>MATRIONIOS</v>
      </c>
      <c r="E14" s="5" t="str">
        <f ca="1">IFERROR(__xludf.DUMMYFUNCTION("""COMPUTED_VALUE"""),"ASCENDENTE")</f>
        <v>ASCENDENTE</v>
      </c>
      <c r="F14" s="5" t="str">
        <f ca="1">IFERROR(__xludf.DUMMYFUNCTION("""COMPUTED_VALUE"""),"BITACORA OPERATIVA")</f>
        <v>BITACORA OPERATIVA</v>
      </c>
      <c r="G14" s="5">
        <f ca="1">IFERROR(__xludf.DUMMYFUNCTION("""COMPUTED_VALUE"""),98.3333333333333)</f>
        <v>98.3333333333333</v>
      </c>
      <c r="H14" s="5">
        <f ca="1">IFERROR(__xludf.DUMMYFUNCTION("""COMPUTED_VALUE"""),17)</f>
        <v>17</v>
      </c>
      <c r="I14" s="5">
        <f ca="1">IFERROR(__xludf.DUMMYFUNCTION("""COMPUTED_VALUE"""),23)</f>
        <v>23</v>
      </c>
      <c r="J14" s="5">
        <f ca="1">IFERROR(__xludf.DUMMYFUNCTION("""COMPUTED_VALUE"""),16)</f>
        <v>16</v>
      </c>
      <c r="K14" s="5">
        <f ca="1">IFERROR(__xludf.DUMMYFUNCTION("""COMPUTED_VALUE"""),19)</f>
        <v>19</v>
      </c>
      <c r="L14" s="5">
        <f ca="1">IFERROR(__xludf.DUMMYFUNCTION("""COMPUTED_VALUE"""),17)</f>
        <v>17</v>
      </c>
      <c r="M14" s="5">
        <f ca="1">IFERROR(__xludf.DUMMYFUNCTION("""COMPUTED_VALUE"""),18)</f>
        <v>18</v>
      </c>
      <c r="N14" s="5">
        <f ca="1">IFERROR(__xludf.DUMMYFUNCTION("""COMPUTED_VALUE"""),17)</f>
        <v>17</v>
      </c>
      <c r="O14" s="5">
        <f ca="1">IFERROR(__xludf.DUMMYFUNCTION("""COMPUTED_VALUE"""),37)</f>
        <v>37</v>
      </c>
      <c r="P14" s="5">
        <f ca="1">IFERROR(__xludf.DUMMYFUNCTION("""COMPUTED_VALUE"""),13)</f>
        <v>13</v>
      </c>
      <c r="Q14" s="5">
        <f ca="1">IFERROR(__xludf.DUMMYFUNCTION("""COMPUTED_VALUE"""),0)</f>
        <v>0</v>
      </c>
      <c r="R14" s="5">
        <f ca="1">IFERROR(__xludf.DUMMYFUNCTION("""COMPUTED_VALUE"""),0)</f>
        <v>0</v>
      </c>
      <c r="S14" s="5">
        <f ca="1">IFERROR(__xludf.DUMMYFUNCTION("""COMPUTED_VALUE"""),0)</f>
        <v>0</v>
      </c>
      <c r="T14" s="5">
        <f ca="1">IFERROR(__xludf.DUMMYFUNCTION("""COMPUTED_VALUE"""),177)</f>
        <v>177</v>
      </c>
    </row>
    <row r="15" spans="1:20">
      <c r="A15" s="5"/>
      <c r="B15" s="5" t="str">
        <f ca="1">IFERROR(__xludf.DUMMYFUNCTION("""COMPUTED_VALUE"""),"ACLARACIONES")</f>
        <v>ACLARACIONES</v>
      </c>
      <c r="C15" s="5">
        <f ca="1">IFERROR(__xludf.DUMMYFUNCTION("""COMPUTED_VALUE"""),129)</f>
        <v>129</v>
      </c>
      <c r="D15" s="5" t="str">
        <f ca="1">IFERROR(__xludf.DUMMYFUNCTION("""COMPUTED_VALUE"""),"ACLARACIONES")</f>
        <v>ACLARACIONES</v>
      </c>
      <c r="E15" s="5" t="str">
        <f ca="1">IFERROR(__xludf.DUMMYFUNCTION("""COMPUTED_VALUE"""),"ASCENDENTE")</f>
        <v>ASCENDENTE</v>
      </c>
      <c r="F15" s="5" t="str">
        <f ca="1">IFERROR(__xludf.DUMMYFUNCTION("""COMPUTED_VALUE"""),"BITACORA OPERATIVA")</f>
        <v>BITACORA OPERATIVA</v>
      </c>
      <c r="G15" s="5">
        <f ca="1">IFERROR(__xludf.DUMMYFUNCTION("""COMPUTED_VALUE"""),96.1240310077519)</f>
        <v>96.124031007751896</v>
      </c>
      <c r="H15" s="5">
        <f ca="1">IFERROR(__xludf.DUMMYFUNCTION("""COMPUTED_VALUE"""),26)</f>
        <v>26</v>
      </c>
      <c r="I15" s="5">
        <f ca="1">IFERROR(__xludf.DUMMYFUNCTION("""COMPUTED_VALUE"""),18)</f>
        <v>18</v>
      </c>
      <c r="J15" s="5">
        <f ca="1">IFERROR(__xludf.DUMMYFUNCTION("""COMPUTED_VALUE"""),16)</f>
        <v>16</v>
      </c>
      <c r="K15" s="5">
        <f ca="1">IFERROR(__xludf.DUMMYFUNCTION("""COMPUTED_VALUE"""),18)</f>
        <v>18</v>
      </c>
      <c r="L15" s="5">
        <f ca="1">IFERROR(__xludf.DUMMYFUNCTION("""COMPUTED_VALUE"""),11)</f>
        <v>11</v>
      </c>
      <c r="M15" s="5">
        <f ca="1">IFERROR(__xludf.DUMMYFUNCTION("""COMPUTED_VALUE"""),9)</f>
        <v>9</v>
      </c>
      <c r="N15" s="5">
        <f ca="1">IFERROR(__xludf.DUMMYFUNCTION("""COMPUTED_VALUE"""),8)</f>
        <v>8</v>
      </c>
      <c r="O15" s="5">
        <f ca="1">IFERROR(__xludf.DUMMYFUNCTION("""COMPUTED_VALUE"""),9)</f>
        <v>9</v>
      </c>
      <c r="P15" s="5">
        <f ca="1">IFERROR(__xludf.DUMMYFUNCTION("""COMPUTED_VALUE"""),9)</f>
        <v>9</v>
      </c>
      <c r="Q15" s="5">
        <f ca="1">IFERROR(__xludf.DUMMYFUNCTION("""COMPUTED_VALUE"""),0)</f>
        <v>0</v>
      </c>
      <c r="R15" s="5">
        <f ca="1">IFERROR(__xludf.DUMMYFUNCTION("""COMPUTED_VALUE"""),0)</f>
        <v>0</v>
      </c>
      <c r="S15" s="5">
        <f ca="1">IFERROR(__xludf.DUMMYFUNCTION("""COMPUTED_VALUE"""),0)</f>
        <v>0</v>
      </c>
      <c r="T15" s="5">
        <f ca="1">IFERROR(__xludf.DUMMYFUNCTION("""COMPUTED_VALUE"""),124)</f>
        <v>124</v>
      </c>
    </row>
    <row r="16" spans="1:20">
      <c r="A16" s="5"/>
      <c r="B16" s="5" t="str">
        <f ca="1">IFERROR(__xludf.DUMMYFUNCTION("""COMPUTED_VALUE"""),"CONSTANCIAS")</f>
        <v>CONSTANCIAS</v>
      </c>
      <c r="C16" s="5">
        <f ca="1">IFERROR(__xludf.DUMMYFUNCTION("""COMPUTED_VALUE"""),67)</f>
        <v>67</v>
      </c>
      <c r="D16" s="5" t="str">
        <f ca="1">IFERROR(__xludf.DUMMYFUNCTION("""COMPUTED_VALUE"""),"CONSTANCIAS")</f>
        <v>CONSTANCIAS</v>
      </c>
      <c r="E16" s="5" t="str">
        <f ca="1">IFERROR(__xludf.DUMMYFUNCTION("""COMPUTED_VALUE"""),"ASCENDENTE")</f>
        <v>ASCENDENTE</v>
      </c>
      <c r="F16" s="5" t="str">
        <f ca="1">IFERROR(__xludf.DUMMYFUNCTION("""COMPUTED_VALUE"""),"BITACORA OPERATIVA")</f>
        <v>BITACORA OPERATIVA</v>
      </c>
      <c r="G16" s="5">
        <f ca="1">IFERROR(__xludf.DUMMYFUNCTION("""COMPUTED_VALUE"""),88.0597014925373)</f>
        <v>88.0597014925373</v>
      </c>
      <c r="H16" s="5">
        <f ca="1">IFERROR(__xludf.DUMMYFUNCTION("""COMPUTED_VALUE"""),2)</f>
        <v>2</v>
      </c>
      <c r="I16" s="5">
        <f ca="1">IFERROR(__xludf.DUMMYFUNCTION("""COMPUTED_VALUE"""),3)</f>
        <v>3</v>
      </c>
      <c r="J16" s="5">
        <f ca="1">IFERROR(__xludf.DUMMYFUNCTION("""COMPUTED_VALUE"""),1)</f>
        <v>1</v>
      </c>
      <c r="K16" s="5">
        <f ca="1">IFERROR(__xludf.DUMMYFUNCTION("""COMPUTED_VALUE"""),5)</f>
        <v>5</v>
      </c>
      <c r="L16" s="5">
        <f ca="1">IFERROR(__xludf.DUMMYFUNCTION("""COMPUTED_VALUE"""),5)</f>
        <v>5</v>
      </c>
      <c r="M16" s="5">
        <f ca="1">IFERROR(__xludf.DUMMYFUNCTION("""COMPUTED_VALUE"""),5)</f>
        <v>5</v>
      </c>
      <c r="N16" s="5">
        <f ca="1">IFERROR(__xludf.DUMMYFUNCTION("""COMPUTED_VALUE"""),28)</f>
        <v>28</v>
      </c>
      <c r="O16" s="5">
        <f ca="1">IFERROR(__xludf.DUMMYFUNCTION("""COMPUTED_VALUE"""),6)</f>
        <v>6</v>
      </c>
      <c r="P16" s="5">
        <f ca="1">IFERROR(__xludf.DUMMYFUNCTION("""COMPUTED_VALUE"""),4)</f>
        <v>4</v>
      </c>
      <c r="Q16" s="5">
        <f ca="1">IFERROR(__xludf.DUMMYFUNCTION("""COMPUTED_VALUE"""),0)</f>
        <v>0</v>
      </c>
      <c r="R16" s="5">
        <f ca="1">IFERROR(__xludf.DUMMYFUNCTION("""COMPUTED_VALUE"""),0)</f>
        <v>0</v>
      </c>
      <c r="S16" s="5">
        <f ca="1">IFERROR(__xludf.DUMMYFUNCTION("""COMPUTED_VALUE"""),0)</f>
        <v>0</v>
      </c>
      <c r="T16" s="5">
        <f ca="1">IFERROR(__xludf.DUMMYFUNCTION("""COMPUTED_VALUE"""),59)</f>
        <v>59</v>
      </c>
    </row>
    <row r="17" spans="1:20">
      <c r="A17" s="5"/>
      <c r="B17" s="5" t="str">
        <f ca="1">IFERROR(__xludf.DUMMYFUNCTION("""COMPUTED_VALUE"""),"EXPEDICION DE ACTAS")</f>
        <v>EXPEDICION DE ACTAS</v>
      </c>
      <c r="C17" s="5">
        <f ca="1">IFERROR(__xludf.DUMMYFUNCTION("""COMPUTED_VALUE"""),7000)</f>
        <v>7000</v>
      </c>
      <c r="D17" s="5" t="str">
        <f ca="1">IFERROR(__xludf.DUMMYFUNCTION("""COMPUTED_VALUE"""),"ACTAS EXPEDIDAS")</f>
        <v>ACTAS EXPEDIDAS</v>
      </c>
      <c r="E17" s="5" t="str">
        <f ca="1">IFERROR(__xludf.DUMMYFUNCTION("""COMPUTED_VALUE"""),"ASCENDENTE")</f>
        <v>ASCENDENTE</v>
      </c>
      <c r="F17" s="5" t="str">
        <f ca="1">IFERROR(__xludf.DUMMYFUNCTION("""COMPUTED_VALUE"""),"BITACORA OPERATIVA")</f>
        <v>BITACORA OPERATIVA</v>
      </c>
      <c r="G17" s="5">
        <f ca="1">IFERROR(__xludf.DUMMYFUNCTION("""COMPUTED_VALUE"""),90.5428571428571)</f>
        <v>90.542857142857102</v>
      </c>
      <c r="H17" s="5">
        <f ca="1">IFERROR(__xludf.DUMMYFUNCTION("""COMPUTED_VALUE"""),139)</f>
        <v>139</v>
      </c>
      <c r="I17" s="5">
        <f ca="1">IFERROR(__xludf.DUMMYFUNCTION("""COMPUTED_VALUE"""),173)</f>
        <v>173</v>
      </c>
      <c r="J17" s="5">
        <f ca="1">IFERROR(__xludf.DUMMYFUNCTION("""COMPUTED_VALUE"""),175)</f>
        <v>175</v>
      </c>
      <c r="K17" s="5">
        <f ca="1">IFERROR(__xludf.DUMMYFUNCTION("""COMPUTED_VALUE"""),318)</f>
        <v>318</v>
      </c>
      <c r="L17" s="5">
        <f ca="1">IFERROR(__xludf.DUMMYFUNCTION("""COMPUTED_VALUE"""),302)</f>
        <v>302</v>
      </c>
      <c r="M17" s="5">
        <f ca="1">IFERROR(__xludf.DUMMYFUNCTION("""COMPUTED_VALUE"""),283)</f>
        <v>283</v>
      </c>
      <c r="N17" s="5">
        <f ca="1">IFERROR(__xludf.DUMMYFUNCTION("""COMPUTED_VALUE"""),2042)</f>
        <v>2042</v>
      </c>
      <c r="O17" s="5">
        <f ca="1">IFERROR(__xludf.DUMMYFUNCTION("""COMPUTED_VALUE"""),1365)</f>
        <v>1365</v>
      </c>
      <c r="P17" s="5">
        <f ca="1">IFERROR(__xludf.DUMMYFUNCTION("""COMPUTED_VALUE"""),1541)</f>
        <v>1541</v>
      </c>
      <c r="Q17" s="5">
        <f ca="1">IFERROR(__xludf.DUMMYFUNCTION("""COMPUTED_VALUE"""),0)</f>
        <v>0</v>
      </c>
      <c r="R17" s="5">
        <f ca="1">IFERROR(__xludf.DUMMYFUNCTION("""COMPUTED_VALUE"""),0)</f>
        <v>0</v>
      </c>
      <c r="S17" s="5">
        <f ca="1">IFERROR(__xludf.DUMMYFUNCTION("""COMPUTED_VALUE"""),0)</f>
        <v>0</v>
      </c>
      <c r="T17" s="5">
        <f ca="1">IFERROR(__xludf.DUMMYFUNCTION("""COMPUTED_VALUE"""),6338)</f>
        <v>6338</v>
      </c>
    </row>
    <row r="18" spans="1:20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</row>
    <row r="19" spans="1:20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</row>
    <row r="20" spans="1:20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</row>
    <row r="21" spans="1:20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</row>
    <row r="22" spans="1:20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</row>
    <row r="23" spans="1:20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</row>
    <row r="24" spans="1:20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</row>
    <row r="25" spans="1:20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</row>
    <row r="26" spans="1:20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</row>
    <row r="27" spans="1:20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</row>
    <row r="28" spans="1:20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</row>
    <row r="29" spans="1:20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</row>
    <row r="30" spans="1:20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</row>
    <row r="31" spans="1:20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</row>
    <row r="32" spans="1:20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</row>
    <row r="33" spans="1:20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</row>
    <row r="34" spans="1:20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20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</row>
    <row r="36" spans="1:20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0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</row>
    <row r="38" spans="1:20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</row>
    <row r="39" spans="1:20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</row>
    <row r="40" spans="1:20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</row>
    <row r="41" spans="1:20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</row>
    <row r="42" spans="1:20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</row>
    <row r="43" spans="1:20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</row>
    <row r="44" spans="1:20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</row>
    <row r="45" spans="1:20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</row>
    <row r="46" spans="1:20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</row>
    <row r="47" spans="1:20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</row>
    <row r="48" spans="1:20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</row>
    <row r="49" spans="1:20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</row>
    <row r="50" spans="1:20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</row>
    <row r="51" spans="1:20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</row>
    <row r="52" spans="1:20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</row>
    <row r="53" spans="1:20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</row>
    <row r="54" spans="1:20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</row>
    <row r="55" spans="1:20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</row>
    <row r="56" spans="1:20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</row>
    <row r="57" spans="1:20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</row>
    <row r="58" spans="1:20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</row>
    <row r="59" spans="1:20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</row>
    <row r="60" spans="1:20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</row>
    <row r="61" spans="1:20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</row>
    <row r="62" spans="1:20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</row>
    <row r="63" spans="1:20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</row>
    <row r="64" spans="1:20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</row>
    <row r="65" spans="1:20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</row>
    <row r="66" spans="1:20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</row>
    <row r="67" spans="1:20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</row>
    <row r="68" spans="1:20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</row>
    <row r="69" spans="1:20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</row>
    <row r="70" spans="1:20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</row>
    <row r="71" spans="1:20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</row>
    <row r="72" spans="1:20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</row>
    <row r="73" spans="1:20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</row>
    <row r="74" spans="1:20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</row>
    <row r="75" spans="1:20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</row>
    <row r="76" spans="1:20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</row>
    <row r="77" spans="1:20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</row>
    <row r="78" spans="1:20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</row>
    <row r="79" spans="1:20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</row>
    <row r="80" spans="1:20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</row>
    <row r="81" spans="1:20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</row>
    <row r="82" spans="1:20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</row>
    <row r="83" spans="1:20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</row>
    <row r="84" spans="1:20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</row>
    <row r="85" spans="1:20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</row>
    <row r="86" spans="1:20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</row>
    <row r="87" spans="1:20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</row>
    <row r="88" spans="1:20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</row>
    <row r="89" spans="1:20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</row>
    <row r="90" spans="1:20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</row>
    <row r="91" spans="1:20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</row>
    <row r="92" spans="1:20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</row>
    <row r="93" spans="1:20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</row>
    <row r="94" spans="1:20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</row>
    <row r="95" spans="1:20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</row>
    <row r="96" spans="1:20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</row>
    <row r="97" spans="1:20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</row>
    <row r="98" spans="1:20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</row>
    <row r="99" spans="1:20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</row>
    <row r="100" spans="1:20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</row>
    <row r="101" spans="1:20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</row>
    <row r="102" spans="1:20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</row>
    <row r="103" spans="1:20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</row>
    <row r="104" spans="1:20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</row>
    <row r="105" spans="1:20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</row>
    <row r="106" spans="1:20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</row>
    <row r="107" spans="1:20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</row>
    <row r="108" spans="1:20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</row>
    <row r="109" spans="1:20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</row>
    <row r="110" spans="1:20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</row>
    <row r="111" spans="1:20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</row>
    <row r="112" spans="1:20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</row>
    <row r="113" spans="1:20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</row>
    <row r="114" spans="1:20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</row>
    <row r="115" spans="1:20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</row>
    <row r="116" spans="1:20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</row>
    <row r="117" spans="1:20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</row>
    <row r="118" spans="1:20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</row>
    <row r="119" spans="1:20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</row>
    <row r="120" spans="1:20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</row>
    <row r="121" spans="1:20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</row>
    <row r="122" spans="1:20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</row>
    <row r="123" spans="1:20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</row>
    <row r="124" spans="1:20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</row>
    <row r="125" spans="1:20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</row>
    <row r="126" spans="1:20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</row>
    <row r="127" spans="1:20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</row>
    <row r="128" spans="1:20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</row>
    <row r="129" spans="1:20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</row>
    <row r="130" spans="1:20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</row>
    <row r="131" spans="1:20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</row>
    <row r="132" spans="1:20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</row>
    <row r="133" spans="1:20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</row>
    <row r="134" spans="1:20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</row>
    <row r="135" spans="1:20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</row>
    <row r="136" spans="1:20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</row>
    <row r="137" spans="1:20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</row>
    <row r="138" spans="1:20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</row>
    <row r="139" spans="1:20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</row>
    <row r="140" spans="1:20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</row>
    <row r="141" spans="1:20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</row>
    <row r="142" spans="1:20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</row>
    <row r="143" spans="1:20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</row>
    <row r="144" spans="1:20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</row>
    <row r="145" spans="1:20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</row>
    <row r="146" spans="1:20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</row>
    <row r="147" spans="1:20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</row>
    <row r="148" spans="1:20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</row>
    <row r="149" spans="1:20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</row>
    <row r="150" spans="1:20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</row>
    <row r="151" spans="1:20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</row>
    <row r="152" spans="1:20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</row>
    <row r="153" spans="1:20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</row>
    <row r="154" spans="1:20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</row>
    <row r="155" spans="1:20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</row>
    <row r="156" spans="1:20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</row>
    <row r="157" spans="1:20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</row>
    <row r="158" spans="1:20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</row>
    <row r="159" spans="1:20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</row>
    <row r="160" spans="1:20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</row>
    <row r="161" spans="1:20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</row>
    <row r="162" spans="1:20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</row>
    <row r="163" spans="1:20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</row>
    <row r="164" spans="1:20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</row>
    <row r="165" spans="1:20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</row>
    <row r="166" spans="1:20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</row>
    <row r="167" spans="1:20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</row>
    <row r="168" spans="1:20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</row>
    <row r="169" spans="1:20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</row>
    <row r="170" spans="1:20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</row>
    <row r="171" spans="1:20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</row>
    <row r="172" spans="1:20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</row>
    <row r="173" spans="1:20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</row>
    <row r="174" spans="1:20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</row>
    <row r="175" spans="1:20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</row>
    <row r="176" spans="1:20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</row>
    <row r="177" spans="1:20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</row>
    <row r="178" spans="1:20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</row>
    <row r="179" spans="1:20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</row>
    <row r="180" spans="1:20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</row>
    <row r="181" spans="1:20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</row>
    <row r="182" spans="1:20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</row>
    <row r="183" spans="1:20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</row>
    <row r="184" spans="1:20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</row>
    <row r="185" spans="1:20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</row>
    <row r="186" spans="1:20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</row>
    <row r="187" spans="1:20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</row>
    <row r="188" spans="1:20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</row>
    <row r="189" spans="1:20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</row>
    <row r="190" spans="1:20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</row>
    <row r="191" spans="1:20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</row>
    <row r="192" spans="1:20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</row>
    <row r="193" spans="1:20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</row>
    <row r="194" spans="1:20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</row>
    <row r="195" spans="1:20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</row>
    <row r="196" spans="1:20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</row>
    <row r="197" spans="1:20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</row>
    <row r="198" spans="1:20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</row>
    <row r="199" spans="1:20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</row>
    <row r="200" spans="1:20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</row>
    <row r="201" spans="1:20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</row>
    <row r="202" spans="1:20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</row>
    <row r="203" spans="1:20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</row>
    <row r="204" spans="1:20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</row>
    <row r="205" spans="1:20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</row>
    <row r="206" spans="1:20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</row>
    <row r="207" spans="1:20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</row>
    <row r="208" spans="1:20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</row>
    <row r="209" spans="1:20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</row>
    <row r="210" spans="1:20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</row>
    <row r="211" spans="1:20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</row>
    <row r="212" spans="1:20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</row>
    <row r="213" spans="1:20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</row>
    <row r="214" spans="1:20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</row>
    <row r="215" spans="1:20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</row>
    <row r="216" spans="1:20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</row>
    <row r="217" spans="1:20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</row>
    <row r="218" spans="1:20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</row>
    <row r="219" spans="1:20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</row>
    <row r="220" spans="1:20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</row>
    <row r="221" spans="1:20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</row>
    <row r="222" spans="1:20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</row>
    <row r="223" spans="1:20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</row>
    <row r="224" spans="1:20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</row>
    <row r="225" spans="1:20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</row>
    <row r="226" spans="1:20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</row>
    <row r="227" spans="1:20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</row>
    <row r="228" spans="1:20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</row>
    <row r="229" spans="1:20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</row>
    <row r="230" spans="1:20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</row>
    <row r="231" spans="1:20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</row>
    <row r="232" spans="1:20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</row>
    <row r="233" spans="1:20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</row>
    <row r="234" spans="1:20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</row>
    <row r="235" spans="1:20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</row>
    <row r="236" spans="1:20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</row>
    <row r="237" spans="1:20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</row>
    <row r="238" spans="1:20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</row>
    <row r="239" spans="1:20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</row>
    <row r="240" spans="1:20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</row>
    <row r="241" spans="1:20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</row>
    <row r="242" spans="1:20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</row>
    <row r="243" spans="1:20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</row>
    <row r="244" spans="1:20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</row>
    <row r="245" spans="1:20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</row>
    <row r="246" spans="1:20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</row>
    <row r="247" spans="1:20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</row>
    <row r="248" spans="1:20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</row>
    <row r="249" spans="1:20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</row>
    <row r="250" spans="1:20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</row>
    <row r="251" spans="1:20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</row>
    <row r="252" spans="1:20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</row>
    <row r="253" spans="1:20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</row>
    <row r="254" spans="1:20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</row>
    <row r="255" spans="1:20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</row>
    <row r="256" spans="1:20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</row>
    <row r="257" spans="1:20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</row>
    <row r="258" spans="1:20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</row>
    <row r="259" spans="1:20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</row>
    <row r="260" spans="1:20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</row>
    <row r="261" spans="1:20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</row>
    <row r="262" spans="1:20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</row>
    <row r="263" spans="1:20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</row>
    <row r="264" spans="1:20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</row>
    <row r="265" spans="1:20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</row>
    <row r="266" spans="1:20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</row>
    <row r="267" spans="1:20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</row>
    <row r="268" spans="1:20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</row>
    <row r="269" spans="1:20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</row>
    <row r="270" spans="1:20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</row>
    <row r="271" spans="1:20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</row>
    <row r="272" spans="1:20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</row>
    <row r="273" spans="1:20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</row>
    <row r="274" spans="1:20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</row>
    <row r="275" spans="1:20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</row>
    <row r="276" spans="1:20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</row>
    <row r="277" spans="1:20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</row>
    <row r="278" spans="1:20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</row>
    <row r="279" spans="1:20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</row>
    <row r="280" spans="1:20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</row>
    <row r="281" spans="1:20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</row>
    <row r="282" spans="1:20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</row>
    <row r="283" spans="1:20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</row>
    <row r="284" spans="1:20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</row>
    <row r="285" spans="1:20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</row>
    <row r="286" spans="1:20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</row>
    <row r="287" spans="1:20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</row>
    <row r="288" spans="1:20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</row>
    <row r="289" spans="1:20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</row>
    <row r="290" spans="1:20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</row>
    <row r="291" spans="1:20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</row>
    <row r="292" spans="1:20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</row>
    <row r="293" spans="1:20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</row>
    <row r="294" spans="1:20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</row>
    <row r="295" spans="1:20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</row>
    <row r="296" spans="1:20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</row>
    <row r="297" spans="1:20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</row>
    <row r="298" spans="1:20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</row>
    <row r="299" spans="1:20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</row>
    <row r="300" spans="1:20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</row>
    <row r="301" spans="1:20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</row>
    <row r="302" spans="1:20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</row>
    <row r="303" spans="1:20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</row>
    <row r="304" spans="1:20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</row>
    <row r="305" spans="1:20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</row>
    <row r="306" spans="1:20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</row>
    <row r="307" spans="1:20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</row>
    <row r="308" spans="1:20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</row>
    <row r="309" spans="1:20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</row>
    <row r="310" spans="1:20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</row>
    <row r="311" spans="1:20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</row>
    <row r="312" spans="1:20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</row>
    <row r="313" spans="1:20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</row>
    <row r="314" spans="1:20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</row>
    <row r="315" spans="1:20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</row>
    <row r="316" spans="1:20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</row>
    <row r="317" spans="1:20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</row>
    <row r="318" spans="1:20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</row>
    <row r="319" spans="1:20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</row>
    <row r="320" spans="1:20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</row>
    <row r="321" spans="1:20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</row>
    <row r="322" spans="1:20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</row>
    <row r="323" spans="1:20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</row>
    <row r="324" spans="1:20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</row>
    <row r="325" spans="1:20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</row>
    <row r="326" spans="1:20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</row>
    <row r="327" spans="1:20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</row>
    <row r="328" spans="1:20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</row>
    <row r="329" spans="1:20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</row>
    <row r="330" spans="1:20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</row>
    <row r="331" spans="1:20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</row>
    <row r="332" spans="1:20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</row>
    <row r="333" spans="1:20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</row>
    <row r="334" spans="1:20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</row>
    <row r="335" spans="1:20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</row>
    <row r="336" spans="1:20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</row>
    <row r="337" spans="1:20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</row>
    <row r="338" spans="1:20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</row>
    <row r="339" spans="1:20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</row>
    <row r="340" spans="1:20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</row>
    <row r="341" spans="1:20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</row>
    <row r="342" spans="1:20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</row>
    <row r="343" spans="1:20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</row>
    <row r="344" spans="1:20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</row>
    <row r="345" spans="1:20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</row>
    <row r="346" spans="1:20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</row>
    <row r="347" spans="1:20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</row>
    <row r="348" spans="1:20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</row>
    <row r="349" spans="1:20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</row>
    <row r="350" spans="1:20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</row>
    <row r="351" spans="1:20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</row>
    <row r="352" spans="1:20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</row>
    <row r="353" spans="1:20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</row>
    <row r="354" spans="1:20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</row>
    <row r="355" spans="1:20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</row>
    <row r="356" spans="1:20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</row>
    <row r="357" spans="1:20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</row>
    <row r="358" spans="1:20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</row>
    <row r="359" spans="1:20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</row>
    <row r="360" spans="1:20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</row>
    <row r="361" spans="1:20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</row>
    <row r="362" spans="1:20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</row>
    <row r="363" spans="1:20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</row>
    <row r="364" spans="1:20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</row>
    <row r="365" spans="1:20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</row>
    <row r="366" spans="1:20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</row>
    <row r="367" spans="1:20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</row>
    <row r="368" spans="1:20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</row>
    <row r="369" spans="1:20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</row>
    <row r="370" spans="1:20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</row>
    <row r="371" spans="1:20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</row>
    <row r="372" spans="1:20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</row>
    <row r="373" spans="1:20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</row>
    <row r="374" spans="1:20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</row>
    <row r="375" spans="1:20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</row>
    <row r="376" spans="1:20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</row>
    <row r="377" spans="1:20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</row>
    <row r="378" spans="1:20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</row>
    <row r="379" spans="1:20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</row>
    <row r="380" spans="1:20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</row>
    <row r="381" spans="1:20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</row>
    <row r="382" spans="1:20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</row>
    <row r="383" spans="1:20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</row>
    <row r="384" spans="1:20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</row>
    <row r="385" spans="1:20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</row>
    <row r="386" spans="1:20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</row>
    <row r="387" spans="1:20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</row>
    <row r="388" spans="1:20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</row>
    <row r="389" spans="1:20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</row>
    <row r="390" spans="1:20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</row>
    <row r="391" spans="1:20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</row>
    <row r="392" spans="1:20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</row>
    <row r="393" spans="1:20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</row>
    <row r="394" spans="1:20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</row>
    <row r="395" spans="1:20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</row>
    <row r="396" spans="1:20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</row>
    <row r="397" spans="1:20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</row>
    <row r="398" spans="1:20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</row>
    <row r="399" spans="1:20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</row>
    <row r="400" spans="1:20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</row>
    <row r="401" spans="1:20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</row>
    <row r="402" spans="1:20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</row>
    <row r="403" spans="1:20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</row>
    <row r="404" spans="1:20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</row>
    <row r="405" spans="1:20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</row>
    <row r="406" spans="1:20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</row>
    <row r="407" spans="1:20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</row>
    <row r="408" spans="1:20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</row>
    <row r="409" spans="1:20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</row>
    <row r="410" spans="1:20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</row>
    <row r="411" spans="1:20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</row>
    <row r="412" spans="1:20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</row>
    <row r="413" spans="1:20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</row>
    <row r="414" spans="1:20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</row>
    <row r="415" spans="1:20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</row>
    <row r="416" spans="1:20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</row>
    <row r="417" spans="1:20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</row>
    <row r="418" spans="1:20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</row>
    <row r="419" spans="1:20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</row>
    <row r="420" spans="1:20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</row>
    <row r="421" spans="1:20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</row>
    <row r="422" spans="1:20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</row>
    <row r="423" spans="1:20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</row>
    <row r="424" spans="1:20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</row>
    <row r="425" spans="1:20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</row>
    <row r="426" spans="1:20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</row>
    <row r="427" spans="1:20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</row>
    <row r="428" spans="1:20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</row>
    <row r="429" spans="1:20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</row>
    <row r="430" spans="1:20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</row>
    <row r="431" spans="1:20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</row>
    <row r="432" spans="1:20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</row>
    <row r="433" spans="1:20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</row>
    <row r="434" spans="1:20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</row>
    <row r="435" spans="1:20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</row>
    <row r="436" spans="1:20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</row>
    <row r="437" spans="1:20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</row>
    <row r="438" spans="1:20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</row>
    <row r="439" spans="1:20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</row>
    <row r="440" spans="1:20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</row>
    <row r="441" spans="1:20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</row>
    <row r="442" spans="1:20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</row>
    <row r="443" spans="1:20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</row>
    <row r="444" spans="1:20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</row>
    <row r="445" spans="1:20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</row>
    <row r="446" spans="1:20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</row>
    <row r="447" spans="1:20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</row>
    <row r="448" spans="1:20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</row>
    <row r="449" spans="1:20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</row>
    <row r="450" spans="1:20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</row>
    <row r="451" spans="1:20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</row>
    <row r="452" spans="1:20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</row>
    <row r="453" spans="1:20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</row>
    <row r="454" spans="1:20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</row>
    <row r="455" spans="1:20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</row>
    <row r="456" spans="1:20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</row>
    <row r="457" spans="1:20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</row>
    <row r="458" spans="1:20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</row>
    <row r="459" spans="1:20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</row>
    <row r="460" spans="1:20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</row>
    <row r="461" spans="1:20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</row>
    <row r="462" spans="1:20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</row>
    <row r="463" spans="1:20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</row>
    <row r="464" spans="1:20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</row>
    <row r="465" spans="1:20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</row>
    <row r="466" spans="1:20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</row>
    <row r="467" spans="1:20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</row>
    <row r="468" spans="1:20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</row>
    <row r="469" spans="1:20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</row>
    <row r="470" spans="1:20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</row>
    <row r="471" spans="1:20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</row>
    <row r="472" spans="1:20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</row>
    <row r="473" spans="1:20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</row>
    <row r="474" spans="1:20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</row>
    <row r="475" spans="1:20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</row>
    <row r="476" spans="1:20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</row>
    <row r="477" spans="1:20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</row>
    <row r="478" spans="1:20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</row>
    <row r="479" spans="1:20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</row>
    <row r="480" spans="1:20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</row>
    <row r="481" spans="1:20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</row>
    <row r="482" spans="1:20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</row>
    <row r="483" spans="1:20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</row>
    <row r="484" spans="1:20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</row>
    <row r="485" spans="1:20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</row>
    <row r="486" spans="1:20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</row>
    <row r="487" spans="1:20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</row>
    <row r="488" spans="1:20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</row>
    <row r="489" spans="1:20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</row>
    <row r="490" spans="1:20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</row>
    <row r="491" spans="1:20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</row>
    <row r="492" spans="1:20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</row>
    <row r="493" spans="1:20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</row>
    <row r="494" spans="1:20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</row>
    <row r="495" spans="1:20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</row>
    <row r="496" spans="1:20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</row>
    <row r="497" spans="1:20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</row>
    <row r="498" spans="1:20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</row>
    <row r="499" spans="1:20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</row>
    <row r="500" spans="1:20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</row>
    <row r="501" spans="1:20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</row>
    <row r="502" spans="1:20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</row>
    <row r="503" spans="1:20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</row>
    <row r="504" spans="1:20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</row>
    <row r="505" spans="1:20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</row>
    <row r="506" spans="1:20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</row>
    <row r="507" spans="1:20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</row>
    <row r="508" spans="1:20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</row>
    <row r="509" spans="1:20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</row>
    <row r="510" spans="1:20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</row>
    <row r="511" spans="1:20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</row>
    <row r="512" spans="1:20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</row>
    <row r="513" spans="1:20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</row>
    <row r="514" spans="1:20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</row>
    <row r="515" spans="1:20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</row>
    <row r="516" spans="1:20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</row>
    <row r="517" spans="1:20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</row>
    <row r="518" spans="1:20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</row>
    <row r="519" spans="1:20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</row>
    <row r="520" spans="1:20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</row>
    <row r="521" spans="1:20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</row>
    <row r="522" spans="1:20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</row>
    <row r="523" spans="1:20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</row>
    <row r="524" spans="1:20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</row>
    <row r="525" spans="1:20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</row>
    <row r="526" spans="1:20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</row>
    <row r="527" spans="1:20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</row>
    <row r="528" spans="1:20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</row>
    <row r="529" spans="1:20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</row>
    <row r="530" spans="1:20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</row>
    <row r="531" spans="1:20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</row>
    <row r="532" spans="1:20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</row>
    <row r="533" spans="1:20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</row>
    <row r="534" spans="1:20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</row>
    <row r="535" spans="1:20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</row>
    <row r="536" spans="1:20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</row>
    <row r="537" spans="1:20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</row>
    <row r="538" spans="1:20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</row>
    <row r="539" spans="1:20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</row>
    <row r="540" spans="1:20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</row>
    <row r="541" spans="1:20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</row>
    <row r="542" spans="1:20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</row>
    <row r="543" spans="1:20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</row>
    <row r="544" spans="1:20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</row>
    <row r="545" spans="1:20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</row>
    <row r="546" spans="1:20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</row>
    <row r="547" spans="1:20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</row>
    <row r="548" spans="1:20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</row>
    <row r="549" spans="1:20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</row>
    <row r="550" spans="1:20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</row>
    <row r="551" spans="1:20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</row>
    <row r="552" spans="1:20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</row>
    <row r="553" spans="1:20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</row>
    <row r="554" spans="1:20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</row>
    <row r="555" spans="1:20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</row>
    <row r="556" spans="1:20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</row>
    <row r="557" spans="1:20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</row>
    <row r="558" spans="1:20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</row>
    <row r="559" spans="1:20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</row>
    <row r="560" spans="1:20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</row>
    <row r="561" spans="1:20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</row>
    <row r="562" spans="1:20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</row>
    <row r="563" spans="1:20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</row>
    <row r="564" spans="1:20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</row>
    <row r="565" spans="1:20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</row>
    <row r="566" spans="1:20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</row>
    <row r="567" spans="1:20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</row>
    <row r="568" spans="1:20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</row>
    <row r="569" spans="1:20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</row>
    <row r="570" spans="1:20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</row>
    <row r="571" spans="1:20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</row>
    <row r="572" spans="1:20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</row>
    <row r="573" spans="1:20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</row>
    <row r="574" spans="1:20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</row>
    <row r="575" spans="1:20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</row>
    <row r="576" spans="1:20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</row>
    <row r="577" spans="1:20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</row>
    <row r="578" spans="1:20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</row>
    <row r="579" spans="1:20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</row>
    <row r="580" spans="1:20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</row>
    <row r="581" spans="1:20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</row>
    <row r="582" spans="1:20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</row>
    <row r="583" spans="1:20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</row>
    <row r="584" spans="1:20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</row>
    <row r="585" spans="1:20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</row>
    <row r="586" spans="1:20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</row>
    <row r="587" spans="1:20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</row>
    <row r="588" spans="1:20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</row>
    <row r="589" spans="1:20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</row>
    <row r="590" spans="1:20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</row>
    <row r="591" spans="1:20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</row>
    <row r="592" spans="1:20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</row>
    <row r="593" spans="1:20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</row>
    <row r="594" spans="1:20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</row>
    <row r="595" spans="1:20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</row>
    <row r="596" spans="1:20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</row>
    <row r="597" spans="1:20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</row>
    <row r="598" spans="1:20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</row>
    <row r="599" spans="1:20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</row>
    <row r="600" spans="1:20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</row>
    <row r="601" spans="1:20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</row>
    <row r="602" spans="1:20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</row>
    <row r="603" spans="1:20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</row>
    <row r="604" spans="1:20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</row>
    <row r="605" spans="1:20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</row>
    <row r="606" spans="1:20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</row>
    <row r="607" spans="1:20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</row>
    <row r="608" spans="1:20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</row>
    <row r="609" spans="1:20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</row>
    <row r="610" spans="1:20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</row>
    <row r="611" spans="1:20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</row>
    <row r="612" spans="1:20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</row>
    <row r="613" spans="1:20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</row>
    <row r="614" spans="1:20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</row>
    <row r="615" spans="1:20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</row>
    <row r="616" spans="1:20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</row>
    <row r="617" spans="1:20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</row>
    <row r="618" spans="1:20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</row>
    <row r="619" spans="1:20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</row>
    <row r="620" spans="1:20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</row>
    <row r="621" spans="1:20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</row>
    <row r="622" spans="1:20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</row>
    <row r="623" spans="1:20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</row>
    <row r="624" spans="1:20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</row>
    <row r="625" spans="1:20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</row>
    <row r="626" spans="1:20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</row>
    <row r="627" spans="1:20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</row>
    <row r="628" spans="1:20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</row>
    <row r="629" spans="1:20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</row>
    <row r="630" spans="1:20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</row>
    <row r="631" spans="1:20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</row>
    <row r="632" spans="1:20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</row>
    <row r="633" spans="1:20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</row>
    <row r="634" spans="1:20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</row>
    <row r="635" spans="1:20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</row>
    <row r="636" spans="1:20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</row>
    <row r="637" spans="1:20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</row>
    <row r="638" spans="1:20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</row>
    <row r="639" spans="1:20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</row>
    <row r="640" spans="1:20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</row>
    <row r="641" spans="1:20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</row>
    <row r="642" spans="1:20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</row>
    <row r="643" spans="1:20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</row>
    <row r="644" spans="1:20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</row>
    <row r="645" spans="1:20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</row>
    <row r="646" spans="1:20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</row>
    <row r="647" spans="1:20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</row>
    <row r="648" spans="1:20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</row>
    <row r="649" spans="1:20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</row>
    <row r="650" spans="1:20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</row>
    <row r="651" spans="1:20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</row>
    <row r="652" spans="1:20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</row>
    <row r="653" spans="1:20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</row>
    <row r="654" spans="1:20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</row>
    <row r="655" spans="1:20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</row>
    <row r="656" spans="1:20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</row>
    <row r="657" spans="1:20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</row>
    <row r="658" spans="1:20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</row>
    <row r="659" spans="1:20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</row>
    <row r="660" spans="1:20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</row>
    <row r="661" spans="1:20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</row>
    <row r="662" spans="1:20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</row>
    <row r="663" spans="1:20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</row>
    <row r="664" spans="1:20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</row>
    <row r="665" spans="1:20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</row>
    <row r="666" spans="1:20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</row>
    <row r="667" spans="1:20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</row>
    <row r="668" spans="1:20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</row>
    <row r="669" spans="1:20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</row>
    <row r="670" spans="1:20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</row>
    <row r="671" spans="1:20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</row>
    <row r="672" spans="1:20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</row>
    <row r="673" spans="1:20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</row>
    <row r="674" spans="1:20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</row>
    <row r="675" spans="1:20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</row>
    <row r="676" spans="1:20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</row>
    <row r="677" spans="1:20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</row>
    <row r="678" spans="1:20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</row>
    <row r="679" spans="1:20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</row>
    <row r="680" spans="1:20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</row>
    <row r="681" spans="1:20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</row>
    <row r="682" spans="1:20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</row>
    <row r="683" spans="1:20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</row>
    <row r="684" spans="1:20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</row>
    <row r="685" spans="1:20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</row>
    <row r="686" spans="1:20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</row>
    <row r="687" spans="1:20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</row>
    <row r="688" spans="1:20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</row>
    <row r="689" spans="1:20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</row>
    <row r="690" spans="1:20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</row>
    <row r="691" spans="1:20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</row>
    <row r="692" spans="1:20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</row>
    <row r="693" spans="1:20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</row>
    <row r="694" spans="1:20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</row>
    <row r="695" spans="1:20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</row>
    <row r="696" spans="1:20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</row>
    <row r="697" spans="1:20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</row>
    <row r="698" spans="1:20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</row>
    <row r="699" spans="1:20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</row>
    <row r="700" spans="1:20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</row>
    <row r="701" spans="1:20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</row>
    <row r="702" spans="1:20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</row>
    <row r="703" spans="1:20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</row>
    <row r="704" spans="1:20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</row>
    <row r="705" spans="1:20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</row>
    <row r="706" spans="1:20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</row>
    <row r="707" spans="1:20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</row>
    <row r="708" spans="1:20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</row>
    <row r="709" spans="1:20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</row>
    <row r="710" spans="1:20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</row>
    <row r="711" spans="1:20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</row>
    <row r="712" spans="1:20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</row>
    <row r="713" spans="1:20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</row>
    <row r="714" spans="1:20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</row>
    <row r="715" spans="1:20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</row>
    <row r="716" spans="1:20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</row>
    <row r="717" spans="1:20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</row>
    <row r="718" spans="1:20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</row>
    <row r="719" spans="1:20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</row>
    <row r="720" spans="1:20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</row>
    <row r="721" spans="1:20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</row>
    <row r="722" spans="1:20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</row>
    <row r="723" spans="1:20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</row>
    <row r="724" spans="1:20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</row>
    <row r="725" spans="1:20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</row>
    <row r="726" spans="1:20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</row>
    <row r="727" spans="1:20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</row>
    <row r="728" spans="1:20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</row>
    <row r="729" spans="1:20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</row>
    <row r="730" spans="1:20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</row>
    <row r="731" spans="1:20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</row>
    <row r="732" spans="1:20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</row>
    <row r="733" spans="1:20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</row>
    <row r="734" spans="1:20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</row>
    <row r="735" spans="1:20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</row>
    <row r="736" spans="1:20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</row>
    <row r="737" spans="1:20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</row>
    <row r="738" spans="1:20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</row>
    <row r="739" spans="1:20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</row>
    <row r="740" spans="1:20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</row>
    <row r="741" spans="1:20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</row>
    <row r="742" spans="1:20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</row>
    <row r="743" spans="1:20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</row>
    <row r="744" spans="1:20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</row>
    <row r="745" spans="1:20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</row>
    <row r="746" spans="1:20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</row>
    <row r="747" spans="1:20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</row>
    <row r="748" spans="1:20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</row>
    <row r="749" spans="1:20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</row>
    <row r="750" spans="1:20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</row>
    <row r="751" spans="1:20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</row>
    <row r="752" spans="1:20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</row>
    <row r="753" spans="1:20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</row>
    <row r="754" spans="1:20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</row>
    <row r="755" spans="1:20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</row>
    <row r="756" spans="1:20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</row>
    <row r="757" spans="1:20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</row>
    <row r="758" spans="1:20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</row>
    <row r="759" spans="1:20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</row>
    <row r="760" spans="1:20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</row>
    <row r="761" spans="1:20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</row>
    <row r="762" spans="1:20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</row>
    <row r="763" spans="1:20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</row>
    <row r="764" spans="1:20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</row>
    <row r="765" spans="1:20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</row>
    <row r="766" spans="1:20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</row>
    <row r="767" spans="1:20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</row>
    <row r="768" spans="1:20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</row>
    <row r="769" spans="1:20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</row>
    <row r="770" spans="1:20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</row>
    <row r="771" spans="1:20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</row>
    <row r="772" spans="1:20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</row>
    <row r="773" spans="1:20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</row>
    <row r="774" spans="1:20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</row>
    <row r="775" spans="1:20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</row>
    <row r="776" spans="1:20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</row>
    <row r="777" spans="1:20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</row>
    <row r="778" spans="1:20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</row>
    <row r="779" spans="1:20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</row>
    <row r="780" spans="1:20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</row>
    <row r="781" spans="1:20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</row>
    <row r="782" spans="1:20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</row>
    <row r="783" spans="1:20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</row>
    <row r="784" spans="1:20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</row>
    <row r="785" spans="1:20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</row>
    <row r="786" spans="1:20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</row>
    <row r="787" spans="1:20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</row>
    <row r="788" spans="1:20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</row>
    <row r="789" spans="1:20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</row>
    <row r="790" spans="1:20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</row>
    <row r="791" spans="1:20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</row>
    <row r="792" spans="1:20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</row>
    <row r="793" spans="1:20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</row>
    <row r="794" spans="1:20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</row>
    <row r="795" spans="1:20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</row>
    <row r="796" spans="1:20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</row>
    <row r="797" spans="1:20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</row>
    <row r="798" spans="1:20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</row>
    <row r="799" spans="1:20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</row>
    <row r="800" spans="1:20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</row>
    <row r="801" spans="1:20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</row>
    <row r="802" spans="1:20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</row>
    <row r="803" spans="1:20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</row>
    <row r="804" spans="1:20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</row>
    <row r="805" spans="1:20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</row>
    <row r="806" spans="1:20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</row>
    <row r="807" spans="1:20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</row>
    <row r="808" spans="1:20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</row>
    <row r="809" spans="1:20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</row>
    <row r="810" spans="1:20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</row>
    <row r="811" spans="1:20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</row>
    <row r="812" spans="1:20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</row>
    <row r="813" spans="1:20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</row>
    <row r="814" spans="1:20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</row>
    <row r="815" spans="1:20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</row>
    <row r="816" spans="1:20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</row>
    <row r="817" spans="1:20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</row>
    <row r="818" spans="1:20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</row>
    <row r="819" spans="1:20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</row>
    <row r="820" spans="1:20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</row>
    <row r="821" spans="1:20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</row>
    <row r="822" spans="1:20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</row>
    <row r="823" spans="1:20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</row>
    <row r="824" spans="1:20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</row>
    <row r="825" spans="1:20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</row>
    <row r="826" spans="1:20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</row>
    <row r="827" spans="1:20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</row>
    <row r="828" spans="1:20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</row>
    <row r="829" spans="1:20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</row>
    <row r="830" spans="1:20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</row>
    <row r="831" spans="1:20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</row>
    <row r="832" spans="1:20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</row>
    <row r="833" spans="1:20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</row>
    <row r="834" spans="1:20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</row>
    <row r="835" spans="1:20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</row>
    <row r="836" spans="1:20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</row>
    <row r="837" spans="1:20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</row>
    <row r="838" spans="1:20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</row>
    <row r="839" spans="1:20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</row>
    <row r="840" spans="1:20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</row>
    <row r="841" spans="1:20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</row>
    <row r="842" spans="1:20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</row>
    <row r="843" spans="1:20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</row>
    <row r="844" spans="1:20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</row>
    <row r="845" spans="1:20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</row>
    <row r="846" spans="1:20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</row>
    <row r="847" spans="1:20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</row>
    <row r="848" spans="1:20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</row>
    <row r="849" spans="1:20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</row>
    <row r="850" spans="1:20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</row>
    <row r="851" spans="1:20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</row>
    <row r="852" spans="1:20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</row>
    <row r="853" spans="1:20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</row>
    <row r="854" spans="1:20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</row>
    <row r="855" spans="1:20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</row>
    <row r="856" spans="1:20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</row>
    <row r="857" spans="1:20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</row>
    <row r="858" spans="1:20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</row>
    <row r="859" spans="1:20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</row>
    <row r="860" spans="1:20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</row>
    <row r="861" spans="1:20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</row>
    <row r="862" spans="1:20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</row>
    <row r="863" spans="1:20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</row>
    <row r="864" spans="1:20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</row>
    <row r="865" spans="1:20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</row>
    <row r="866" spans="1:20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</row>
    <row r="867" spans="1:20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</row>
    <row r="868" spans="1:20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</row>
    <row r="869" spans="1:20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</row>
    <row r="870" spans="1:20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</row>
    <row r="871" spans="1:20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</row>
    <row r="872" spans="1:20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</row>
    <row r="873" spans="1:20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</row>
    <row r="874" spans="1:20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</row>
    <row r="875" spans="1:20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</row>
    <row r="876" spans="1:20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</row>
    <row r="877" spans="1:20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</row>
    <row r="878" spans="1:20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</row>
    <row r="879" spans="1:20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</row>
    <row r="880" spans="1:20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</row>
    <row r="881" spans="1:20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</row>
    <row r="882" spans="1:20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</row>
    <row r="883" spans="1:20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</row>
    <row r="884" spans="1:20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</row>
    <row r="885" spans="1:20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</row>
    <row r="886" spans="1:20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</row>
    <row r="887" spans="1:20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</row>
    <row r="888" spans="1:20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</row>
    <row r="889" spans="1:20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</row>
    <row r="890" spans="1:20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</row>
    <row r="891" spans="1:20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</row>
    <row r="892" spans="1:20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</row>
    <row r="893" spans="1:20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</row>
    <row r="894" spans="1:20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</row>
    <row r="895" spans="1:20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</row>
    <row r="896" spans="1:20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</row>
    <row r="897" spans="1:20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</row>
    <row r="898" spans="1:20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</row>
    <row r="899" spans="1:20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</row>
    <row r="900" spans="1:20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</row>
    <row r="901" spans="1:20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</row>
    <row r="902" spans="1:20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</row>
    <row r="903" spans="1:20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</row>
    <row r="904" spans="1:20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</row>
    <row r="905" spans="1:20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</row>
    <row r="906" spans="1:20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</row>
    <row r="907" spans="1:20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</row>
    <row r="908" spans="1:20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</row>
    <row r="909" spans="1:20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</row>
    <row r="910" spans="1:20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</row>
    <row r="911" spans="1:20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</row>
    <row r="912" spans="1:20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</row>
    <row r="913" spans="1:20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</row>
    <row r="914" spans="1:20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</row>
    <row r="915" spans="1:20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</row>
    <row r="916" spans="1:20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</row>
    <row r="917" spans="1:20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</row>
    <row r="918" spans="1:20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</row>
    <row r="919" spans="1:20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</row>
    <row r="920" spans="1:20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</row>
    <row r="921" spans="1:20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</row>
    <row r="922" spans="1:20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</row>
    <row r="923" spans="1:20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</row>
    <row r="924" spans="1:20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</row>
    <row r="925" spans="1:20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</row>
    <row r="926" spans="1:20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</row>
    <row r="927" spans="1:20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</row>
    <row r="928" spans="1:20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</row>
    <row r="929" spans="1:20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</row>
    <row r="930" spans="1:20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</row>
    <row r="931" spans="1:20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</row>
    <row r="932" spans="1:20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</row>
    <row r="933" spans="1:20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</row>
    <row r="934" spans="1:20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</row>
    <row r="935" spans="1:20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</row>
    <row r="936" spans="1:20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</row>
    <row r="937" spans="1:20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</row>
    <row r="938" spans="1:20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</row>
    <row r="939" spans="1:20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</row>
    <row r="940" spans="1:20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</row>
    <row r="941" spans="1:20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</row>
    <row r="942" spans="1:20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</row>
    <row r="943" spans="1:20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</row>
    <row r="944" spans="1:20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</row>
    <row r="945" spans="1:20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</row>
    <row r="946" spans="1:20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</row>
    <row r="947" spans="1:20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</row>
    <row r="948" spans="1:20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</row>
    <row r="949" spans="1:20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</row>
    <row r="950" spans="1:20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</row>
    <row r="951" spans="1:20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</row>
    <row r="952" spans="1:20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</row>
    <row r="953" spans="1:20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</row>
    <row r="954" spans="1:20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</row>
    <row r="955" spans="1:20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</row>
    <row r="956" spans="1:20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</row>
    <row r="957" spans="1:20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</row>
    <row r="958" spans="1:20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</row>
    <row r="959" spans="1:20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</row>
    <row r="960" spans="1:20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</row>
    <row r="961" spans="1:20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</row>
    <row r="962" spans="1:20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</row>
    <row r="963" spans="1:20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</row>
    <row r="964" spans="1:20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</row>
    <row r="965" spans="1:20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</row>
    <row r="966" spans="1:20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</row>
    <row r="967" spans="1:20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</row>
    <row r="968" spans="1:20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</row>
    <row r="969" spans="1:20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</row>
    <row r="970" spans="1:20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</row>
    <row r="971" spans="1:20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</row>
    <row r="972" spans="1:20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</row>
    <row r="973" spans="1:20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</row>
    <row r="974" spans="1:20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</row>
    <row r="975" spans="1:20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</row>
    <row r="976" spans="1:20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</row>
    <row r="977" spans="1:20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</row>
    <row r="978" spans="1:20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</row>
    <row r="979" spans="1:20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</row>
    <row r="980" spans="1:20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</row>
    <row r="981" spans="1:20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</row>
    <row r="982" spans="1:20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</row>
    <row r="983" spans="1:20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</row>
    <row r="984" spans="1:20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</row>
    <row r="985" spans="1:20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</row>
    <row r="986" spans="1:20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</row>
    <row r="987" spans="1:20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</row>
    <row r="988" spans="1:20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</row>
    <row r="989" spans="1:20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</row>
    <row r="990" spans="1:20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</row>
    <row r="991" spans="1:20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</row>
    <row r="992" spans="1:20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</row>
    <row r="993" spans="1:20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</row>
    <row r="994" spans="1:20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</row>
    <row r="995" spans="1:20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</row>
    <row r="996" spans="1:20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</row>
    <row r="997" spans="1:20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</row>
    <row r="998" spans="1:20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</row>
    <row r="999" spans="1:20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</row>
    <row r="1000" spans="1:20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>
    <outlinePr summaryBelow="0" summaryRight="0"/>
  </sheetPr>
  <dimension ref="A3:A4"/>
  <sheetViews>
    <sheetView workbookViewId="0"/>
  </sheetViews>
  <sheetFormatPr baseColWidth="10" defaultColWidth="11.1640625" defaultRowHeight="15" customHeight="1"/>
  <sheetData>
    <row r="3" spans="1:1">
      <c r="A3" s="6" t="s">
        <v>164</v>
      </c>
    </row>
    <row r="4" spans="1:1">
      <c r="A4" s="5" t="str">
        <f>UPPER((A3))</f>
        <v>ADMINISTRAR Y MANTENER LOS CEMENTERIOS PÚBLICOS, ASEGURANDO QUE SE CUMPLAN LAS NORMAS Y REGULACIONES APLICABLES EN MATERIA DE INHUMACIONES, EXHUMACIONES Y MANEJO DE RESTOS HUMANOS.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>
    <tabColor rgb="FF385623"/>
  </sheetPr>
  <dimension ref="A1:Z1000"/>
  <sheetViews>
    <sheetView workbookViewId="0"/>
  </sheetViews>
  <sheetFormatPr baseColWidth="10" defaultColWidth="11.1640625" defaultRowHeight="15" customHeight="1"/>
  <cols>
    <col min="1" max="1" width="39.83203125" customWidth="1"/>
    <col min="2" max="2" width="47" customWidth="1"/>
    <col min="3" max="3" width="38.5" customWidth="1"/>
    <col min="4" max="4" width="30.33203125" customWidth="1"/>
    <col min="5" max="5" width="41.1640625" customWidth="1"/>
    <col min="6" max="6" width="42.83203125" customWidth="1"/>
    <col min="7" max="7" width="38.33203125" customWidth="1"/>
    <col min="8" max="8" width="33.6640625" customWidth="1"/>
    <col min="9" max="9" width="28" customWidth="1"/>
    <col min="10" max="10" width="33.6640625" customWidth="1"/>
    <col min="11" max="26" width="10.5" customWidth="1"/>
  </cols>
  <sheetData>
    <row r="1" spans="1:26" ht="15.75" customHeight="1">
      <c r="A1" s="277"/>
      <c r="B1" s="278"/>
      <c r="C1" s="277" t="s">
        <v>165</v>
      </c>
      <c r="D1" s="281"/>
      <c r="E1" s="281"/>
      <c r="F1" s="281"/>
      <c r="G1" s="282"/>
      <c r="H1" s="7" t="s">
        <v>166</v>
      </c>
      <c r="I1" s="285" t="s">
        <v>167</v>
      </c>
      <c r="J1" s="286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157.5" customHeight="1">
      <c r="A2" s="279"/>
      <c r="B2" s="280"/>
      <c r="C2" s="279"/>
      <c r="D2" s="283"/>
      <c r="E2" s="283"/>
      <c r="F2" s="283"/>
      <c r="G2" s="284"/>
      <c r="H2" s="7" t="s">
        <v>168</v>
      </c>
      <c r="I2" s="287">
        <v>43691</v>
      </c>
      <c r="J2" s="286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15.75" customHeight="1">
      <c r="A3" s="288" t="s">
        <v>4</v>
      </c>
      <c r="B3" s="289"/>
      <c r="C3" s="289"/>
      <c r="D3" s="289"/>
      <c r="E3" s="289"/>
      <c r="F3" s="289"/>
      <c r="G3" s="286"/>
      <c r="H3" s="290">
        <v>301</v>
      </c>
      <c r="I3" s="289"/>
      <c r="J3" s="286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57" customHeight="1">
      <c r="A4" s="9" t="s">
        <v>169</v>
      </c>
      <c r="B4" s="293" t="s">
        <v>170</v>
      </c>
      <c r="C4" s="294"/>
      <c r="D4" s="10" t="s">
        <v>8</v>
      </c>
      <c r="E4" s="11">
        <v>2024</v>
      </c>
      <c r="F4" s="291" t="s">
        <v>171</v>
      </c>
      <c r="G4" s="292"/>
      <c r="H4" s="12">
        <v>8200000</v>
      </c>
      <c r="I4" s="13" t="s">
        <v>172</v>
      </c>
      <c r="J4" s="14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15.75" customHeight="1">
      <c r="A5" s="295" t="s">
        <v>11</v>
      </c>
      <c r="B5" s="296"/>
      <c r="C5" s="297" t="s">
        <v>173</v>
      </c>
      <c r="D5" s="289"/>
      <c r="E5" s="286"/>
      <c r="F5" s="298" t="s">
        <v>174</v>
      </c>
      <c r="G5" s="292"/>
      <c r="H5" s="299" t="s">
        <v>175</v>
      </c>
      <c r="I5" s="289"/>
      <c r="J5" s="286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15.75" customHeight="1">
      <c r="A6" s="1" t="s">
        <v>17</v>
      </c>
      <c r="B6" s="15" t="s">
        <v>18</v>
      </c>
      <c r="C6" s="16" t="s">
        <v>19</v>
      </c>
      <c r="D6" s="2" t="s">
        <v>20</v>
      </c>
      <c r="E6" s="16" t="s">
        <v>176</v>
      </c>
      <c r="F6" s="300" t="s">
        <v>13</v>
      </c>
      <c r="G6" s="286"/>
      <c r="H6" s="16" t="s">
        <v>177</v>
      </c>
      <c r="I6" s="2" t="s">
        <v>15</v>
      </c>
      <c r="J6" s="16" t="s">
        <v>16</v>
      </c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42" customHeight="1">
      <c r="A7" s="301" t="s">
        <v>22</v>
      </c>
      <c r="B7" s="302"/>
      <c r="C7" s="303" t="s">
        <v>178</v>
      </c>
      <c r="D7" s="289"/>
      <c r="E7" s="286"/>
      <c r="F7" s="308" t="s">
        <v>23</v>
      </c>
      <c r="G7" s="289"/>
      <c r="H7" s="286"/>
      <c r="I7" s="303" t="s">
        <v>179</v>
      </c>
      <c r="J7" s="286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15.75" customHeight="1">
      <c r="A8" s="309" t="s">
        <v>25</v>
      </c>
      <c r="B8" s="310" t="s">
        <v>26</v>
      </c>
      <c r="C8" s="312" t="s">
        <v>27</v>
      </c>
      <c r="D8" s="289"/>
      <c r="E8" s="286"/>
      <c r="F8" s="313" t="s">
        <v>28</v>
      </c>
      <c r="G8" s="282"/>
      <c r="H8" s="306" t="s">
        <v>29</v>
      </c>
      <c r="I8" s="304" t="s">
        <v>30</v>
      </c>
      <c r="J8" s="306" t="s">
        <v>31</v>
      </c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15.75" customHeight="1">
      <c r="A9" s="307"/>
      <c r="B9" s="311"/>
      <c r="C9" s="17" t="s">
        <v>32</v>
      </c>
      <c r="D9" s="18" t="s">
        <v>33</v>
      </c>
      <c r="E9" s="19" t="s">
        <v>34</v>
      </c>
      <c r="F9" s="279"/>
      <c r="G9" s="284"/>
      <c r="H9" s="307"/>
      <c r="I9" s="305"/>
      <c r="J9" s="307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81" customHeight="1">
      <c r="A10" s="318" t="s">
        <v>35</v>
      </c>
      <c r="B10" s="314" t="s">
        <v>180</v>
      </c>
      <c r="C10" s="319" t="s">
        <v>181</v>
      </c>
      <c r="D10" s="322" t="s">
        <v>113</v>
      </c>
      <c r="E10" s="322" t="s">
        <v>39</v>
      </c>
      <c r="F10" s="3">
        <v>33.33</v>
      </c>
      <c r="G10" s="4" t="s">
        <v>182</v>
      </c>
      <c r="H10" s="314" t="s">
        <v>183</v>
      </c>
      <c r="I10" s="322" t="s">
        <v>113</v>
      </c>
      <c r="J10" s="314" t="s">
        <v>184</v>
      </c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42.75" customHeight="1">
      <c r="A11" s="315"/>
      <c r="B11" s="315"/>
      <c r="C11" s="320"/>
      <c r="D11" s="315"/>
      <c r="E11" s="315"/>
      <c r="F11" s="316" t="s">
        <v>44</v>
      </c>
      <c r="G11" s="317"/>
      <c r="H11" s="315"/>
      <c r="I11" s="315"/>
      <c r="J11" s="315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15.75" customHeight="1">
      <c r="A12" s="307"/>
      <c r="B12" s="307"/>
      <c r="C12" s="321"/>
      <c r="D12" s="307"/>
      <c r="E12" s="307"/>
      <c r="F12" s="20">
        <f>$D$47</f>
        <v>0</v>
      </c>
      <c r="G12" s="4" t="s">
        <v>185</v>
      </c>
      <c r="H12" s="307"/>
      <c r="I12" s="307"/>
      <c r="J12" s="307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15.75" customHeight="1">
      <c r="A13" s="324" t="s">
        <v>46</v>
      </c>
      <c r="B13" s="323" t="s">
        <v>186</v>
      </c>
      <c r="C13" s="322" t="s">
        <v>187</v>
      </c>
      <c r="D13" s="322" t="s">
        <v>188</v>
      </c>
      <c r="E13" s="322" t="s">
        <v>39</v>
      </c>
      <c r="F13" s="3">
        <v>89.79</v>
      </c>
      <c r="G13" s="4" t="s">
        <v>189</v>
      </c>
      <c r="H13" s="314" t="s">
        <v>190</v>
      </c>
      <c r="I13" s="322" t="s">
        <v>191</v>
      </c>
      <c r="J13" s="314" t="s">
        <v>192</v>
      </c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52.5" customHeight="1">
      <c r="A14" s="315"/>
      <c r="B14" s="315"/>
      <c r="C14" s="315"/>
      <c r="D14" s="315"/>
      <c r="E14" s="315"/>
      <c r="F14" s="316" t="s">
        <v>44</v>
      </c>
      <c r="G14" s="317"/>
      <c r="H14" s="315"/>
      <c r="I14" s="315"/>
      <c r="J14" s="315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85.5" customHeight="1">
      <c r="A15" s="307"/>
      <c r="B15" s="307"/>
      <c r="C15" s="307"/>
      <c r="D15" s="307"/>
      <c r="E15" s="307"/>
      <c r="F15" s="20"/>
      <c r="G15" s="4" t="s">
        <v>193</v>
      </c>
      <c r="H15" s="307"/>
      <c r="I15" s="307"/>
      <c r="J15" s="307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15.75" customHeight="1">
      <c r="A16" s="325" t="s">
        <v>55</v>
      </c>
      <c r="B16" s="314" t="s">
        <v>194</v>
      </c>
      <c r="C16" s="322" t="s">
        <v>195</v>
      </c>
      <c r="D16" s="322" t="s">
        <v>113</v>
      </c>
      <c r="E16" s="322" t="s">
        <v>39</v>
      </c>
      <c r="F16" s="3">
        <v>16.57</v>
      </c>
      <c r="G16" s="4" t="s">
        <v>196</v>
      </c>
      <c r="H16" s="314" t="s">
        <v>183</v>
      </c>
      <c r="I16" s="322" t="s">
        <v>113</v>
      </c>
      <c r="J16" s="314" t="s">
        <v>184</v>
      </c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57.75" customHeight="1">
      <c r="A17" s="326"/>
      <c r="B17" s="315"/>
      <c r="C17" s="315"/>
      <c r="D17" s="315"/>
      <c r="E17" s="315"/>
      <c r="F17" s="316" t="s">
        <v>44</v>
      </c>
      <c r="G17" s="317"/>
      <c r="H17" s="315"/>
      <c r="I17" s="315"/>
      <c r="J17" s="315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15.75" customHeight="1">
      <c r="A18" s="326"/>
      <c r="B18" s="307"/>
      <c r="C18" s="307"/>
      <c r="D18" s="307"/>
      <c r="E18" s="307"/>
      <c r="F18" s="20"/>
      <c r="G18" s="4" t="s">
        <v>197</v>
      </c>
      <c r="H18" s="307"/>
      <c r="I18" s="307"/>
      <c r="J18" s="307"/>
      <c r="K18" s="8"/>
      <c r="L18" s="8"/>
      <c r="M18" s="8"/>
      <c r="N18" s="8"/>
      <c r="O18" s="8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</row>
    <row r="19" spans="1:26" ht="52.5" customHeight="1">
      <c r="A19" s="326"/>
      <c r="B19" s="314" t="s">
        <v>198</v>
      </c>
      <c r="C19" s="322" t="s">
        <v>199</v>
      </c>
      <c r="D19" s="322" t="s">
        <v>200</v>
      </c>
      <c r="E19" s="322" t="s">
        <v>39</v>
      </c>
      <c r="F19" s="3">
        <v>0</v>
      </c>
      <c r="G19" s="4" t="s">
        <v>201</v>
      </c>
      <c r="H19" s="314" t="s">
        <v>202</v>
      </c>
      <c r="I19" s="314" t="s">
        <v>200</v>
      </c>
      <c r="J19" s="314" t="s">
        <v>203</v>
      </c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51.75" customHeight="1">
      <c r="A20" s="326"/>
      <c r="B20" s="315"/>
      <c r="C20" s="315"/>
      <c r="D20" s="315"/>
      <c r="E20" s="315"/>
      <c r="F20" s="316" t="s">
        <v>44</v>
      </c>
      <c r="G20" s="317"/>
      <c r="H20" s="315"/>
      <c r="I20" s="315"/>
      <c r="J20" s="315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60.75" customHeight="1">
      <c r="A21" s="327"/>
      <c r="B21" s="307"/>
      <c r="C21" s="307"/>
      <c r="D21" s="307"/>
      <c r="E21" s="307"/>
      <c r="F21" s="20"/>
      <c r="G21" s="4" t="s">
        <v>204</v>
      </c>
      <c r="H21" s="307"/>
      <c r="I21" s="307"/>
      <c r="J21" s="307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15.75" customHeight="1">
      <c r="A22" s="318" t="s">
        <v>79</v>
      </c>
      <c r="B22" s="314" t="s">
        <v>205</v>
      </c>
      <c r="C22" s="322" t="s">
        <v>206</v>
      </c>
      <c r="D22" s="322" t="s">
        <v>207</v>
      </c>
      <c r="E22" s="322" t="s">
        <v>39</v>
      </c>
      <c r="F22" s="21"/>
      <c r="G22" s="4" t="s">
        <v>208</v>
      </c>
      <c r="H22" s="314" t="s">
        <v>209</v>
      </c>
      <c r="I22" s="314" t="s">
        <v>210</v>
      </c>
      <c r="J22" s="314" t="s">
        <v>211</v>
      </c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45" customHeight="1">
      <c r="A23" s="315"/>
      <c r="B23" s="315"/>
      <c r="C23" s="315"/>
      <c r="D23" s="315"/>
      <c r="E23" s="315"/>
      <c r="F23" s="328" t="s">
        <v>44</v>
      </c>
      <c r="G23" s="317"/>
      <c r="H23" s="315"/>
      <c r="I23" s="315"/>
      <c r="J23" s="315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57.75" customHeight="1">
      <c r="A24" s="315"/>
      <c r="B24" s="307"/>
      <c r="C24" s="307"/>
      <c r="D24" s="315"/>
      <c r="E24" s="315"/>
      <c r="F24" s="22"/>
      <c r="G24" s="4" t="s">
        <v>212</v>
      </c>
      <c r="H24" s="307"/>
      <c r="I24" s="307"/>
      <c r="J24" s="307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84" customHeight="1">
      <c r="A25" s="315"/>
      <c r="B25" s="314" t="s">
        <v>213</v>
      </c>
      <c r="C25" s="314" t="s">
        <v>214</v>
      </c>
      <c r="D25" s="315"/>
      <c r="E25" s="315"/>
      <c r="F25" s="21"/>
      <c r="G25" s="4" t="s">
        <v>215</v>
      </c>
      <c r="H25" s="314" t="s">
        <v>216</v>
      </c>
      <c r="I25" s="314" t="s">
        <v>207</v>
      </c>
      <c r="J25" s="314" t="s">
        <v>217</v>
      </c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43.5" customHeight="1">
      <c r="A26" s="315"/>
      <c r="B26" s="315"/>
      <c r="C26" s="315"/>
      <c r="D26" s="315"/>
      <c r="E26" s="315"/>
      <c r="F26" s="328" t="s">
        <v>44</v>
      </c>
      <c r="G26" s="317"/>
      <c r="H26" s="315"/>
      <c r="I26" s="315"/>
      <c r="J26" s="315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81" customHeight="1">
      <c r="A27" s="307"/>
      <c r="B27" s="307"/>
      <c r="C27" s="307"/>
      <c r="D27" s="307"/>
      <c r="E27" s="307"/>
      <c r="F27" s="22"/>
      <c r="G27" s="4" t="s">
        <v>218</v>
      </c>
      <c r="H27" s="307"/>
      <c r="I27" s="307"/>
      <c r="J27" s="307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15.75" customHeight="1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15.75" customHeight="1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15.75" customHeight="1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15.75" customHeight="1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5.75" customHeight="1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5.75" customHeight="1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5.75" customHeight="1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5.75" customHeight="1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5.75" customHeight="1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5.75" customHeight="1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5.75" customHeight="1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5.75" customHeight="1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5.75" customHeight="1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5.75" customHeight="1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5.75" customHeight="1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5.75" customHeight="1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5.75" customHeight="1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5.75" customHeight="1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5.75" customHeight="1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5.75" customHeight="1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5.75" customHeight="1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5.75" customHeight="1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5.75" customHeight="1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5.75" customHeight="1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5.75" customHeight="1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5.75" customHeight="1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5.75" customHeight="1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5.75" customHeight="1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5.75" customHeight="1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5.75" customHeight="1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5.75" customHeight="1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5.75" customHeight="1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5.75" customHeight="1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5.75" customHeight="1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5.75" customHeight="1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5.75" customHeight="1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5.75" customHeight="1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5.75" customHeight="1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5.75" customHeight="1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5.75" customHeight="1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5.75" customHeight="1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5.75" customHeight="1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5.75" customHeight="1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5.75" customHeight="1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5.75" customHeight="1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5.75" customHeight="1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5.75" customHeight="1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5.75" customHeight="1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5.75" customHeight="1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5.75" customHeight="1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5.75" customHeight="1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5.75" customHeight="1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5.75" customHeight="1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5.75" customHeight="1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5.75" customHeight="1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5.75" customHeight="1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5.75" customHeight="1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5.75" customHeight="1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5.75" customHeight="1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5.75" customHeight="1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5.75" customHeight="1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5.75" customHeight="1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5.75" customHeight="1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5.75" customHeight="1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5.75" customHeight="1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5.75" customHeight="1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5.75" customHeight="1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5.75" customHeight="1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5.75" customHeight="1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5.75" customHeight="1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5.75" customHeight="1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5.75" customHeight="1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5.75" customHeight="1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5.75" customHeight="1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5.75" customHeight="1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5.75" customHeight="1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5.75" customHeight="1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5.75" customHeight="1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5.75" customHeight="1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5.75" customHeight="1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5.75" customHeight="1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5.75" customHeight="1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5.75" customHeight="1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5.75" customHeight="1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5.75" customHeight="1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5.75" customHeight="1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5.75" customHeight="1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5.75" customHeight="1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5.75" customHeight="1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5.75" customHeight="1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5.75" customHeight="1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5.75" customHeight="1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5.75" customHeight="1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5.75" customHeight="1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5.75" customHeight="1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5.75" customHeight="1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5.75" customHeight="1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5.75" customHeight="1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5.75" customHeight="1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5.75" customHeight="1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5.75" customHeight="1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5.75" customHeight="1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5.75" customHeight="1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5.75" customHeight="1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5.75" customHeight="1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5.75" customHeight="1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5.75" customHeight="1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5.75" customHeight="1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5.75" customHeight="1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5.75" customHeight="1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5.75" customHeight="1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5.75" customHeight="1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5.75" customHeight="1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5.75" customHeight="1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5.75" customHeight="1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5.75" customHeight="1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5.75" customHeight="1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5.75" customHeight="1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5.75" customHeight="1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5.75" customHeight="1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5.75" customHeight="1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5.75" customHeight="1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5.75" customHeight="1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5.75" customHeight="1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5.75" customHeight="1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5.75" customHeight="1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5.75" customHeight="1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5.75" customHeight="1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5.75" customHeight="1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5.75" customHeight="1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5.75" customHeight="1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5.75" customHeight="1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5.75" customHeight="1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5.75" customHeight="1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5.75" customHeight="1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5.75" customHeight="1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5.75" customHeight="1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5.75" customHeight="1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5.75" customHeight="1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5.75" customHeight="1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5.75" customHeight="1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5.75" customHeight="1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5.75" customHeight="1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5.75" customHeight="1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5.75" customHeight="1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5.75" customHeight="1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5.75" customHeight="1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5.75" customHeight="1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5.75" customHeight="1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5.75" customHeight="1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5.75" customHeight="1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5.75" customHeight="1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5.75" customHeight="1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5.75" customHeight="1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5.75" customHeight="1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5.75" customHeight="1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5.75" customHeight="1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5.75" customHeight="1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5.75" customHeight="1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5.75" customHeight="1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5.75" customHeight="1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5.75" customHeight="1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5.75" customHeight="1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5.75" customHeight="1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5.75" customHeight="1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5.75" customHeight="1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5.75" customHeight="1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5.75" customHeight="1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5.75" customHeight="1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5.75" customHeight="1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5.75" customHeight="1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5.75" customHeight="1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5.75" customHeight="1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5.75" customHeight="1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5.75" customHeight="1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5.75" customHeight="1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5.75" customHeight="1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5.75" customHeight="1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5.75" customHeight="1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5.75" customHeight="1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5.75" customHeight="1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5.75" customHeight="1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5.75" customHeight="1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5.75" customHeight="1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5.75" customHeight="1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5.75" customHeight="1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5.75" customHeight="1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5.75" customHeight="1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5.75" customHeight="1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5.75" customHeight="1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5.75" customHeight="1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5.75" customHeight="1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5.75" customHeight="1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5.75" customHeight="1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5.75" customHeight="1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5.75" customHeight="1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5.75" customHeight="1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5.75" customHeight="1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5.75" customHeight="1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5.75" customHeight="1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5.75" customHeight="1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5.75" customHeight="1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5.75" customHeight="1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5.75" customHeight="1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5.75" customHeight="1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5.75" customHeight="1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5.75" customHeight="1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5.75" customHeight="1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5.75" customHeight="1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5.75" customHeight="1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5.75" customHeight="1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5.75" customHeight="1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5.75" customHeight="1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5.75" customHeight="1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5.75" customHeight="1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5.75" customHeight="1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5.75" customHeight="1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5.75" customHeight="1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5.75" customHeight="1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5.75" customHeight="1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5.75" customHeight="1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5.75" customHeight="1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5.75" customHeight="1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5.75" customHeight="1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5.75" customHeight="1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5.75" customHeight="1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5.75" customHeight="1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5.75" customHeight="1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5.75" customHeight="1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5.75" customHeight="1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5.75" customHeight="1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5.75" customHeight="1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5.75" customHeight="1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5.75" customHeight="1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5.75" customHeight="1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5.75" customHeight="1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5.75" customHeight="1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5.75" customHeight="1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5.75" customHeight="1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5.75" customHeight="1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5.75" customHeight="1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5.75" customHeight="1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5.75" customHeight="1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5.75" customHeight="1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5.75" customHeight="1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5.75" customHeight="1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5.75" customHeight="1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5.75" customHeight="1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5.75" customHeight="1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5.75" customHeight="1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5.75" customHeight="1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5.75" customHeight="1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5.75" customHeight="1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5.75" customHeight="1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5.75" customHeight="1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5.75" customHeight="1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5.75" customHeight="1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5.75" customHeight="1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5.75" customHeight="1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5.75" customHeight="1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5.75" customHeight="1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5.75" customHeight="1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5.75" customHeight="1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5.75" customHeight="1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5.75" customHeight="1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5.75" customHeight="1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5.75" customHeight="1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5.75" customHeight="1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5.75" customHeight="1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5.75" customHeight="1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5.75" customHeight="1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5.75" customHeight="1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5.75" customHeight="1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5.75" customHeight="1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5.75" customHeight="1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5.75" customHeight="1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5.75" customHeight="1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5.75" customHeight="1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5.75" customHeight="1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5.75" customHeight="1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5.75" customHeight="1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5.75" customHeight="1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5.75" customHeight="1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5.75" customHeight="1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5.75" customHeight="1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5.75" customHeight="1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5.75" customHeight="1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5.75" customHeight="1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5.75" customHeight="1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5.75" customHeight="1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5.75" customHeight="1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5.75" customHeight="1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5.75" customHeight="1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5.75" customHeight="1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5.75" customHeight="1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5.75" customHeight="1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5.75" customHeight="1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5.75" customHeight="1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5.75" customHeight="1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5.75" customHeight="1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5.75" customHeight="1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5.75" customHeight="1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5.75" customHeight="1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5.75" customHeight="1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5.75" customHeight="1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5.75" customHeight="1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5.75" customHeight="1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5.75" customHeight="1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5.75" customHeight="1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5.75" customHeight="1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5.75" customHeight="1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5.75" customHeight="1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5.75" customHeight="1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5.75" customHeight="1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5.75" customHeight="1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5.75" customHeight="1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5.75" customHeight="1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5.75" customHeight="1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5.75" customHeight="1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5.75" customHeight="1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5.75" customHeight="1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5.75" customHeight="1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5.75" customHeight="1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5.75" customHeight="1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5.75" customHeight="1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5.75" customHeight="1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5.75" customHeight="1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5.75" customHeight="1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5.75" customHeight="1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5.75" customHeight="1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5.75" customHeight="1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5.75" customHeight="1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5.75" customHeight="1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5.75" customHeight="1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5.75" customHeight="1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5.75" customHeight="1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5.75" customHeight="1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5.75" customHeight="1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5.75" customHeight="1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5.75" customHeight="1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5.75" customHeight="1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5.75" customHeight="1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5.75" customHeight="1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5.75" customHeight="1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5.75" customHeight="1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5.75" customHeight="1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5.75" customHeight="1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5.75" customHeight="1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5.75" customHeight="1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5.75" customHeight="1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5.75" customHeight="1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5.75" customHeight="1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5.75" customHeight="1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5.75" customHeight="1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5.75" customHeight="1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5.75" customHeight="1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5.75" customHeight="1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5.75" customHeight="1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5.75" customHeight="1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5.75" customHeight="1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5.75" customHeight="1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5.75" customHeight="1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5.75" customHeight="1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5.75" customHeight="1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5.75" customHeight="1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5.75" customHeight="1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5.75" customHeight="1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5.75" customHeight="1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5.75" customHeight="1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5.75" customHeight="1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5.75" customHeight="1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5.75" customHeight="1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5.75" customHeight="1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5.75" customHeight="1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5.75" customHeight="1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5.75" customHeight="1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5.75" customHeight="1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5.75" customHeight="1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5.75" customHeight="1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5.75" customHeight="1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5.75" customHeight="1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5.75" customHeight="1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5.75" customHeight="1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5.75" customHeight="1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5.75" customHeight="1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5.75" customHeight="1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5.75" customHeight="1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5.75" customHeight="1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5.75" customHeight="1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5.75" customHeight="1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5.75" customHeight="1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5.75" customHeight="1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5.75" customHeight="1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5.75" customHeight="1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5.75" customHeight="1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5.75" customHeight="1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5.75" customHeight="1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5.75" customHeight="1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5.75" customHeight="1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5.75" customHeight="1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5.75" customHeight="1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5.75" customHeight="1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5.75" customHeight="1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5.75" customHeight="1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5.75" customHeight="1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5.75" customHeight="1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5.75" customHeight="1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5.75" customHeight="1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5.75" customHeight="1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5.75" customHeight="1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5.75" customHeight="1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5.75" customHeight="1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5.75" customHeight="1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5.75" customHeight="1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5.75" customHeight="1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5.75" customHeight="1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5.75" customHeight="1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5.75" customHeight="1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5.75" customHeight="1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5.75" customHeight="1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5.75" customHeight="1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5.75" customHeight="1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5.75" customHeight="1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5.75" customHeight="1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5.75" customHeight="1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5.75" customHeight="1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5.75" customHeight="1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5.75" customHeight="1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5.75" customHeight="1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5.75" customHeight="1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5.75" customHeight="1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5.75" customHeight="1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5.75" customHeight="1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5.75" customHeight="1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5.75" customHeight="1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5.75" customHeight="1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5.75" customHeight="1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5.75" customHeight="1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5.75" customHeight="1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5.75" customHeight="1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5.75" customHeight="1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5.75" customHeight="1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5.75" customHeight="1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5.75" customHeight="1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5.75" customHeight="1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5.75" customHeight="1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5.75" customHeight="1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5.75" customHeight="1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5.75" customHeight="1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5.75" customHeight="1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5.75" customHeight="1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5.75" customHeight="1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5.75" customHeight="1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5.75" customHeight="1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5.75" customHeight="1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5.75" customHeight="1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5.75" customHeight="1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5.75" customHeight="1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5.75" customHeight="1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5.75" customHeight="1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5.75" customHeight="1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5.75" customHeight="1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5.75" customHeight="1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5.75" customHeight="1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5.75" customHeight="1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5.75" customHeight="1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5.75" customHeight="1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5.75" customHeight="1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5.75" customHeight="1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5.75" customHeight="1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5.75" customHeight="1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5.75" customHeight="1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5.75" customHeight="1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5.75" customHeight="1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5.75" customHeight="1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5.75" customHeight="1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5.75" customHeight="1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5.75" customHeight="1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5.75" customHeight="1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5.75" customHeight="1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5.75" customHeight="1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5.75" customHeight="1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5.75" customHeight="1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5.75" customHeight="1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5.75" customHeight="1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5.75" customHeight="1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5.75" customHeight="1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5.75" customHeight="1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5.75" customHeight="1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5.75" customHeight="1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5.75" customHeight="1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5.75" customHeight="1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5.75" customHeight="1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5.75" customHeight="1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5.75" customHeight="1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5.75" customHeight="1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5.75" customHeight="1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5.75" customHeight="1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5.75" customHeight="1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5.75" customHeight="1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5.75" customHeight="1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5.75" customHeight="1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5.75" customHeight="1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5.75" customHeight="1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5.75" customHeight="1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5.75" customHeight="1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5.75" customHeight="1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5.75" customHeight="1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5.75" customHeight="1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5.75" customHeight="1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5.75" customHeight="1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5.75" customHeight="1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5.75" customHeight="1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5.75" customHeight="1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5.75" customHeight="1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5.75" customHeight="1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5.75" customHeight="1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5.75" customHeight="1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5.75" customHeight="1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5.75" customHeight="1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5.75" customHeight="1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5.75" customHeight="1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5.75" customHeight="1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5.75" customHeight="1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5.75" customHeight="1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5.75" customHeight="1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5.75" customHeight="1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5.75" customHeight="1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5.75" customHeight="1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5.75" customHeight="1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5.75" customHeight="1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5.75" customHeight="1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5.75" customHeight="1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5.75" customHeight="1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5.75" customHeight="1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5.75" customHeight="1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5.75" customHeight="1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5.75" customHeight="1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5.75" customHeight="1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5.75" customHeight="1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5.75" customHeight="1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5.75" customHeight="1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5.75" customHeight="1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5.75" customHeight="1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5.75" customHeight="1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5.75" customHeight="1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5.75" customHeight="1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5.75" customHeight="1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5.75" customHeight="1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5.75" customHeight="1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5.75" customHeight="1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5.75" customHeight="1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5.75" customHeight="1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5.75" customHeight="1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5.75" customHeight="1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5.75" customHeight="1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5.75" customHeight="1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5.75" customHeight="1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5.75" customHeight="1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5.75" customHeight="1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5.75" customHeight="1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5.75" customHeight="1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5.75" customHeight="1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5.75" customHeight="1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5.75" customHeight="1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5.75" customHeight="1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5.75" customHeight="1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5.75" customHeight="1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5.75" customHeight="1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5.75" customHeight="1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5.75" customHeight="1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5.75" customHeight="1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5.75" customHeight="1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5.75" customHeight="1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5.75" customHeight="1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5.75" customHeight="1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5.75" customHeight="1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5.75" customHeight="1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5.75" customHeight="1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5.75" customHeight="1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5.75" customHeight="1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5.75" customHeight="1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5.75" customHeight="1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5.75" customHeight="1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5.75" customHeight="1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5.75" customHeight="1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5.75" customHeight="1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5.75" customHeight="1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5.75" customHeight="1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5.75" customHeight="1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5.75" customHeight="1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5.75" customHeight="1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5.75" customHeight="1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5.75" customHeight="1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5.75" customHeight="1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5.75" customHeight="1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5.75" customHeight="1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5.75" customHeight="1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5.75" customHeight="1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5.75" customHeight="1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5.75" customHeight="1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5.75" customHeight="1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5.75" customHeight="1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5.75" customHeight="1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5.75" customHeight="1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5.75" customHeight="1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5.75" customHeight="1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5.75" customHeight="1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5.75" customHeight="1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5.75" customHeight="1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5.75" customHeight="1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5.75" customHeight="1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5.75" customHeight="1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5.75" customHeight="1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5.75" customHeight="1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5.75" customHeight="1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5.75" customHeight="1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5.75" customHeight="1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5.75" customHeight="1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5.75" customHeight="1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5.75" customHeight="1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5.75" customHeight="1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5.75" customHeight="1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5.75" customHeight="1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5.75" customHeight="1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5.75" customHeight="1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5.75" customHeight="1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5.75" customHeight="1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5.75" customHeight="1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5.75" customHeight="1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5.75" customHeight="1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5.75" customHeight="1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5.75" customHeight="1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5.75" customHeight="1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5.75" customHeight="1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5.75" customHeight="1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5.75" customHeight="1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5.75" customHeight="1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5.75" customHeight="1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5.75" customHeight="1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5.75" customHeight="1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5.75" customHeight="1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5.75" customHeight="1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5.75" customHeight="1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5.75" customHeight="1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5.75" customHeight="1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5.75" customHeight="1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5.75" customHeight="1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5.75" customHeight="1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5.75" customHeight="1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5.75" customHeight="1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5.75" customHeight="1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5.75" customHeight="1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5.75" customHeight="1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5.75" customHeight="1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5.75" customHeight="1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5.75" customHeight="1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5.75" customHeight="1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5.75" customHeight="1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5.75" customHeight="1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5.75" customHeight="1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5.75" customHeight="1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5.75" customHeight="1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5.75" customHeight="1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5.75" customHeight="1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5.75" customHeight="1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5.75" customHeight="1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5.75" customHeight="1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5.75" customHeight="1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5.75" customHeight="1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5.75" customHeight="1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5.75" customHeight="1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5.75" customHeight="1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5.75" customHeight="1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5.75" customHeight="1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5.75" customHeight="1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5.75" customHeight="1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5.75" customHeight="1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5.75" customHeight="1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5.75" customHeight="1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5.75" customHeight="1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5.75" customHeight="1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5.75" customHeight="1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5.75" customHeight="1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5.75" customHeight="1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5.75" customHeight="1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5.75" customHeight="1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5.75" customHeight="1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5.75" customHeight="1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5.75" customHeight="1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5.75" customHeight="1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5.75" customHeight="1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5.75" customHeight="1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5.75" customHeight="1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5.75" customHeight="1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5.75" customHeight="1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5.75" customHeight="1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5.75" customHeight="1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5.75" customHeight="1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5.75" customHeight="1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5.75" customHeight="1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5.75" customHeight="1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5.75" customHeight="1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5.75" customHeight="1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5.75" customHeight="1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5.75" customHeight="1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5.75" customHeight="1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5.75" customHeight="1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5.75" customHeight="1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5.75" customHeight="1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5.75" customHeight="1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5.75" customHeight="1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5.75" customHeight="1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5.75" customHeight="1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5.75" customHeight="1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5.75" customHeight="1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5.75" customHeight="1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5.75" customHeight="1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5.75" customHeight="1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5.75" customHeight="1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5.75" customHeight="1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5.75" customHeight="1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5.75" customHeight="1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5.75" customHeight="1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5.75" customHeight="1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5.75" customHeight="1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5.75" customHeight="1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5.75" customHeight="1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5.75" customHeight="1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5.75" customHeight="1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5.75" customHeight="1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5.75" customHeight="1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5.75" customHeight="1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5.75" customHeight="1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5.75" customHeight="1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5.75" customHeight="1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5.75" customHeight="1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5.75" customHeight="1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5.75" customHeight="1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5.75" customHeight="1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5.75" customHeight="1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5.75" customHeight="1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5.75" customHeight="1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5.75" customHeight="1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5.75" customHeight="1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5.75" customHeight="1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5.75" customHeight="1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5.75" customHeight="1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5.75" customHeight="1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5.75" customHeight="1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5.75" customHeight="1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5.75" customHeight="1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5.75" customHeight="1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5.75" customHeight="1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5.75" customHeight="1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5.75" customHeight="1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5.75" customHeight="1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5.75" customHeight="1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5.75" customHeight="1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5.75" customHeight="1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5.75" customHeight="1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5.75" customHeight="1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5.75" customHeight="1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5.75" customHeight="1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5.75" customHeight="1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5.75" customHeight="1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5.75" customHeight="1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5.75" customHeight="1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5.75" customHeight="1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5.75" customHeight="1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5.75" customHeight="1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5.75" customHeight="1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5.75" customHeight="1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5.75" customHeight="1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5.75" customHeight="1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5.75" customHeight="1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5.75" customHeight="1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5.75" customHeight="1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5.75" customHeight="1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5.75" customHeight="1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5.75" customHeight="1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5.75" customHeight="1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5.75" customHeight="1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5.75" customHeight="1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5.75" customHeight="1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5.75" customHeight="1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5.75" customHeight="1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5.75" customHeight="1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5.75" customHeight="1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5.75" customHeight="1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5.75" customHeight="1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5.75" customHeight="1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5.75" customHeight="1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5.75" customHeight="1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5.75" customHeight="1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5.75" customHeight="1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5.75" customHeight="1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5.75" customHeight="1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5.75" customHeight="1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5.75" customHeight="1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5.75" customHeight="1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5.75" customHeight="1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5.75" customHeight="1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5.75" customHeight="1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5.75" customHeight="1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5.75" customHeight="1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5.75" customHeight="1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5.75" customHeight="1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5.75" customHeight="1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5.75" customHeight="1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5.75" customHeight="1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5.75" customHeight="1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5.75" customHeight="1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5.75" customHeight="1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5.75" customHeight="1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5.75" customHeight="1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5.75" customHeight="1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5.75" customHeight="1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5.75" customHeight="1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5.75" customHeight="1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5.75" customHeight="1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5.75" customHeight="1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5.75" customHeight="1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5.75" customHeight="1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5.75" customHeight="1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5.75" customHeight="1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5.75" customHeight="1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5.75" customHeight="1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5.75" customHeight="1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5.75" customHeight="1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5.75" customHeight="1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5.75" customHeight="1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5.75" customHeight="1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5.75" customHeight="1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5.75" customHeight="1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5.75" customHeight="1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5.75" customHeight="1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5.75" customHeight="1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5.75" customHeight="1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5.75" customHeight="1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5.75" customHeight="1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5.75" customHeight="1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5.75" customHeight="1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5.75" customHeight="1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5.75" customHeight="1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5.75" customHeight="1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5.75" customHeight="1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5.75" customHeight="1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5.75" customHeight="1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5.75" customHeight="1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5.75" customHeight="1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5.75" customHeight="1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5.75" customHeight="1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5.75" customHeight="1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5.75" customHeight="1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5.75" customHeight="1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5.75" customHeight="1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5.75" customHeight="1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5.75" customHeight="1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5.75" customHeight="1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5.75" customHeight="1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5.75" customHeight="1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5.75" customHeight="1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5.75" customHeight="1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5.75" customHeight="1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5.75" customHeight="1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5.75" customHeight="1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5.75" customHeight="1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5.75" customHeight="1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5.75" customHeight="1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5.75" customHeight="1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5.75" customHeight="1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5.75" customHeight="1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5.75" customHeight="1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5.75" customHeight="1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5.75" customHeight="1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5.75" customHeight="1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5.75" customHeight="1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5.75" customHeight="1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5.75" customHeight="1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5.75" customHeight="1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5.75" customHeight="1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5.75" customHeight="1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5.75" customHeight="1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5.75" customHeight="1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5.75" customHeight="1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5.75" customHeight="1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5.75" customHeight="1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5.75" customHeight="1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5.75" customHeight="1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5.75" customHeight="1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5.75" customHeight="1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5.75" customHeight="1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5.75" customHeight="1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5.75" customHeight="1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5.75" customHeight="1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5.75" customHeight="1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5.75" customHeight="1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5.75" customHeight="1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5.75" customHeight="1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5.75" customHeight="1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5.75" customHeight="1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5.75" customHeight="1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5.75" customHeight="1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5.75" customHeight="1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5.75" customHeight="1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5.75" customHeight="1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5.75" customHeight="1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5.75" customHeight="1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5.75" customHeight="1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5.75" customHeight="1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5.75" customHeight="1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5.75" customHeight="1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5.75" customHeight="1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5.75" customHeight="1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5.75" customHeight="1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5.75" customHeight="1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5.75" customHeight="1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5.75" customHeight="1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5.75" customHeight="1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5.75" customHeight="1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5.75" customHeight="1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5.75" customHeight="1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5.75" customHeight="1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5.75" customHeight="1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5.75" customHeight="1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5.75" customHeight="1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5.75" customHeight="1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5.75" customHeight="1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5.75" customHeight="1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5.75" customHeight="1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5.75" customHeight="1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5.75" customHeight="1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5.75" customHeight="1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5.75" customHeight="1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5.75" customHeight="1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5.75" customHeight="1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5.75" customHeight="1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5.75" customHeight="1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5.75" customHeight="1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5.75" customHeight="1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5.75" customHeight="1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5.75" customHeight="1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5.75" customHeight="1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5.75" customHeight="1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5.75" customHeight="1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5.75" customHeight="1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5.75" customHeight="1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5.75" customHeight="1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5.75" customHeight="1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5.75" customHeight="1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5.75" customHeight="1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5.75" customHeight="1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5.75" customHeight="1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5.75" customHeight="1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5.75" customHeight="1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5.75" customHeight="1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5.75" customHeight="1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5.75" customHeight="1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5.75" customHeight="1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5.75" customHeight="1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5.75" customHeight="1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5.75" customHeight="1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5.75" customHeight="1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5.75" customHeight="1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5.75" customHeight="1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5.75" customHeight="1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5.75" customHeight="1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5.75" customHeight="1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5.75" customHeight="1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5.75" customHeight="1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5.75" customHeight="1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5.75" customHeight="1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74">
    <mergeCell ref="I19:I21"/>
    <mergeCell ref="B19:B21"/>
    <mergeCell ref="C19:C21"/>
    <mergeCell ref="D19:D21"/>
    <mergeCell ref="E19:E21"/>
    <mergeCell ref="H19:H21"/>
    <mergeCell ref="E16:E18"/>
    <mergeCell ref="H16:H18"/>
    <mergeCell ref="F17:G17"/>
    <mergeCell ref="I16:I18"/>
    <mergeCell ref="J16:J18"/>
    <mergeCell ref="J13:J15"/>
    <mergeCell ref="A16:A21"/>
    <mergeCell ref="I25:I27"/>
    <mergeCell ref="J25:J27"/>
    <mergeCell ref="J19:J21"/>
    <mergeCell ref="F20:G20"/>
    <mergeCell ref="H22:H24"/>
    <mergeCell ref="I22:I24"/>
    <mergeCell ref="J22:J24"/>
    <mergeCell ref="F23:G23"/>
    <mergeCell ref="H25:H27"/>
    <mergeCell ref="F26:G26"/>
    <mergeCell ref="H13:H15"/>
    <mergeCell ref="F14:G14"/>
    <mergeCell ref="C16:C18"/>
    <mergeCell ref="D16:D18"/>
    <mergeCell ref="I10:I12"/>
    <mergeCell ref="J10:J12"/>
    <mergeCell ref="B13:B15"/>
    <mergeCell ref="B16:B18"/>
    <mergeCell ref="A22:A27"/>
    <mergeCell ref="B22:B24"/>
    <mergeCell ref="C22:C24"/>
    <mergeCell ref="D22:D27"/>
    <mergeCell ref="E22:E27"/>
    <mergeCell ref="B25:B27"/>
    <mergeCell ref="C25:C27"/>
    <mergeCell ref="A13:A15"/>
    <mergeCell ref="C13:C15"/>
    <mergeCell ref="D13:D15"/>
    <mergeCell ref="E13:E15"/>
    <mergeCell ref="I13:I15"/>
    <mergeCell ref="H10:H12"/>
    <mergeCell ref="F11:G11"/>
    <mergeCell ref="A10:A12"/>
    <mergeCell ref="B10:B12"/>
    <mergeCell ref="C10:C12"/>
    <mergeCell ref="D10:D12"/>
    <mergeCell ref="E10:E12"/>
    <mergeCell ref="H5:J5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F4:G4"/>
    <mergeCell ref="B4:C4"/>
    <mergeCell ref="A5:B5"/>
    <mergeCell ref="C5:E5"/>
    <mergeCell ref="F5:G5"/>
    <mergeCell ref="A1:B2"/>
    <mergeCell ref="C1:G2"/>
    <mergeCell ref="I1:J1"/>
    <mergeCell ref="I2:J2"/>
    <mergeCell ref="A3:G3"/>
    <mergeCell ref="H3:J3"/>
  </mergeCells>
  <conditionalFormatting sqref="F12">
    <cfRule type="cellIs" dxfId="247" priority="1" operator="lessThan">
      <formula>$F$16</formula>
    </cfRule>
    <cfRule type="cellIs" dxfId="246" priority="2" operator="greaterThanOrEqual">
      <formula>$F$16</formula>
    </cfRule>
  </conditionalFormatting>
  <conditionalFormatting sqref="F15">
    <cfRule type="cellIs" dxfId="245" priority="3" operator="lessThan">
      <formula>$F$16</formula>
    </cfRule>
    <cfRule type="cellIs" dxfId="244" priority="4" operator="greaterThanOrEqual">
      <formula>$F$16</formula>
    </cfRule>
  </conditionalFormatting>
  <conditionalFormatting sqref="F18">
    <cfRule type="cellIs" dxfId="243" priority="5" operator="lessThan">
      <formula>$F$16</formula>
    </cfRule>
    <cfRule type="cellIs" dxfId="242" priority="6" operator="greaterThanOrEqual">
      <formula>$F$16</formula>
    </cfRule>
  </conditionalFormatting>
  <conditionalFormatting sqref="F21">
    <cfRule type="cellIs" dxfId="241" priority="7" operator="lessThan">
      <formula>$F$16</formula>
    </cfRule>
    <cfRule type="cellIs" dxfId="240" priority="8" operator="greaterThanOrEqual">
      <formula>$F$16</formula>
    </cfRule>
  </conditionalFormatting>
  <conditionalFormatting sqref="F24">
    <cfRule type="cellIs" dxfId="239" priority="9" operator="lessThan">
      <formula>$F$16</formula>
    </cfRule>
    <cfRule type="cellIs" dxfId="238" priority="10" operator="greaterThanOrEqual">
      <formula>$F$16</formula>
    </cfRule>
  </conditionalFormatting>
  <conditionalFormatting sqref="F27">
    <cfRule type="cellIs" dxfId="237" priority="11" operator="lessThan">
      <formula>$F$16</formula>
    </cfRule>
    <cfRule type="cellIs" dxfId="236" priority="12" operator="greaterThanOrEqual">
      <formula>$F$16</formula>
    </cfRule>
  </conditionalFormatting>
  <conditionalFormatting sqref="J4">
    <cfRule type="cellIs" dxfId="235" priority="13" operator="lessThan">
      <formula>$H$4</formula>
    </cfRule>
    <cfRule type="cellIs" dxfId="234" priority="14" operator="greaterThan">
      <formula>$H$4</formula>
    </cfRule>
  </conditionalFormatting>
  <pageMargins left="0.7" right="0.7" top="0.75" bottom="0.75" header="0" footer="0"/>
  <pageSetup scale="22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Z1000"/>
  <sheetViews>
    <sheetView workbookViewId="0"/>
  </sheetViews>
  <sheetFormatPr baseColWidth="10" defaultColWidth="11.1640625" defaultRowHeight="15" customHeight="1"/>
  <cols>
    <col min="1" max="1" width="31" customWidth="1"/>
    <col min="2" max="2" width="30" customWidth="1"/>
    <col min="3" max="3" width="34" customWidth="1"/>
    <col min="4" max="4" width="29" customWidth="1"/>
    <col min="5" max="5" width="25.83203125" customWidth="1"/>
    <col min="6" max="6" width="10.83203125" customWidth="1"/>
    <col min="7" max="7" width="37.5" customWidth="1"/>
    <col min="8" max="8" width="29" customWidth="1"/>
    <col min="9" max="10" width="30.1640625" customWidth="1"/>
    <col min="11" max="26" width="10.5" customWidth="1"/>
  </cols>
  <sheetData>
    <row r="1" spans="1:26" ht="121.5" customHeight="1">
      <c r="A1" s="329"/>
      <c r="B1" s="278"/>
      <c r="C1" s="329" t="s">
        <v>219</v>
      </c>
      <c r="D1" s="281"/>
      <c r="E1" s="281"/>
      <c r="F1" s="281"/>
      <c r="G1" s="282"/>
      <c r="H1" s="23" t="s">
        <v>166</v>
      </c>
      <c r="I1" s="330" t="s">
        <v>167</v>
      </c>
      <c r="J1" s="286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97.5" customHeight="1">
      <c r="A2" s="279"/>
      <c r="B2" s="280"/>
      <c r="C2" s="279"/>
      <c r="D2" s="283"/>
      <c r="E2" s="283"/>
      <c r="F2" s="283"/>
      <c r="G2" s="284"/>
      <c r="H2" s="23" t="s">
        <v>168</v>
      </c>
      <c r="I2" s="331">
        <v>43691</v>
      </c>
      <c r="J2" s="286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5.75" customHeight="1">
      <c r="A3" s="295" t="s">
        <v>4</v>
      </c>
      <c r="B3" s="332"/>
      <c r="C3" s="332"/>
      <c r="D3" s="332"/>
      <c r="E3" s="332"/>
      <c r="F3" s="332"/>
      <c r="G3" s="296"/>
      <c r="H3" s="290">
        <v>303</v>
      </c>
      <c r="I3" s="289"/>
      <c r="J3" s="286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5.75" customHeight="1">
      <c r="A4" s="25" t="s">
        <v>169</v>
      </c>
      <c r="B4" s="308" t="s">
        <v>220</v>
      </c>
      <c r="C4" s="286"/>
      <c r="D4" s="26" t="s">
        <v>8</v>
      </c>
      <c r="E4" s="11">
        <v>2024</v>
      </c>
      <c r="F4" s="298" t="s">
        <v>171</v>
      </c>
      <c r="G4" s="292"/>
      <c r="H4" s="12">
        <v>2040000</v>
      </c>
      <c r="I4" s="13" t="s">
        <v>10</v>
      </c>
      <c r="J4" s="1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5.75" customHeight="1">
      <c r="A5" s="295" t="s">
        <v>11</v>
      </c>
      <c r="B5" s="296"/>
      <c r="C5" s="333" t="s">
        <v>221</v>
      </c>
      <c r="D5" s="289"/>
      <c r="E5" s="286"/>
      <c r="F5" s="298" t="s">
        <v>174</v>
      </c>
      <c r="G5" s="292"/>
      <c r="H5" s="299" t="s">
        <v>222</v>
      </c>
      <c r="I5" s="289"/>
      <c r="J5" s="286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15.75" customHeight="1">
      <c r="A6" s="25" t="s">
        <v>17</v>
      </c>
      <c r="B6" s="27" t="s">
        <v>18</v>
      </c>
      <c r="C6" s="16" t="s">
        <v>19</v>
      </c>
      <c r="D6" s="2" t="s">
        <v>20</v>
      </c>
      <c r="E6" s="16" t="s">
        <v>223</v>
      </c>
      <c r="F6" s="334" t="s">
        <v>13</v>
      </c>
      <c r="G6" s="294"/>
      <c r="H6" s="16" t="s">
        <v>177</v>
      </c>
      <c r="I6" s="2" t="s">
        <v>15</v>
      </c>
      <c r="J6" s="16" t="s">
        <v>16</v>
      </c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15.75" customHeight="1">
      <c r="A7" s="301" t="s">
        <v>22</v>
      </c>
      <c r="B7" s="302"/>
      <c r="C7" s="303" t="s">
        <v>224</v>
      </c>
      <c r="D7" s="289"/>
      <c r="E7" s="286"/>
      <c r="F7" s="335" t="s">
        <v>23</v>
      </c>
      <c r="G7" s="332"/>
      <c r="H7" s="296"/>
      <c r="I7" s="303" t="s">
        <v>225</v>
      </c>
      <c r="J7" s="286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15.75" customHeight="1">
      <c r="A8" s="309" t="s">
        <v>25</v>
      </c>
      <c r="B8" s="310" t="s">
        <v>26</v>
      </c>
      <c r="C8" s="312" t="s">
        <v>27</v>
      </c>
      <c r="D8" s="289"/>
      <c r="E8" s="286"/>
      <c r="F8" s="313" t="s">
        <v>28</v>
      </c>
      <c r="G8" s="282"/>
      <c r="H8" s="306" t="s">
        <v>29</v>
      </c>
      <c r="I8" s="304" t="s">
        <v>30</v>
      </c>
      <c r="J8" s="306" t="s">
        <v>31</v>
      </c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15.75" customHeight="1">
      <c r="A9" s="307"/>
      <c r="B9" s="311"/>
      <c r="C9" s="17" t="s">
        <v>32</v>
      </c>
      <c r="D9" s="18" t="s">
        <v>33</v>
      </c>
      <c r="E9" s="19" t="s">
        <v>34</v>
      </c>
      <c r="F9" s="279"/>
      <c r="G9" s="284"/>
      <c r="H9" s="307"/>
      <c r="I9" s="305"/>
      <c r="J9" s="307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ht="15.75" customHeight="1">
      <c r="A10" s="318" t="s">
        <v>35</v>
      </c>
      <c r="B10" s="314" t="s">
        <v>226</v>
      </c>
      <c r="C10" s="319" t="s">
        <v>227</v>
      </c>
      <c r="D10" s="322" t="s">
        <v>228</v>
      </c>
      <c r="E10" s="322" t="s">
        <v>39</v>
      </c>
      <c r="F10" s="3"/>
      <c r="G10" s="28" t="s">
        <v>229</v>
      </c>
      <c r="H10" s="314" t="s">
        <v>230</v>
      </c>
      <c r="I10" s="314" t="s">
        <v>231</v>
      </c>
      <c r="J10" s="314" t="s">
        <v>232</v>
      </c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42.75" customHeight="1">
      <c r="A11" s="315"/>
      <c r="B11" s="315"/>
      <c r="C11" s="320"/>
      <c r="D11" s="315"/>
      <c r="E11" s="315"/>
      <c r="F11" s="336" t="s">
        <v>44</v>
      </c>
      <c r="G11" s="317"/>
      <c r="H11" s="315"/>
      <c r="I11" s="315"/>
      <c r="J11" s="315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5.75" customHeight="1">
      <c r="A12" s="307"/>
      <c r="B12" s="307"/>
      <c r="C12" s="321"/>
      <c r="D12" s="307"/>
      <c r="E12" s="307"/>
      <c r="F12" s="20" t="e">
        <f>#REF!</f>
        <v>#REF!</v>
      </c>
      <c r="G12" s="28" t="s">
        <v>233</v>
      </c>
      <c r="H12" s="307"/>
      <c r="I12" s="307"/>
      <c r="J12" s="307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15.75" customHeight="1">
      <c r="A13" s="324" t="s">
        <v>46</v>
      </c>
      <c r="B13" s="323" t="s">
        <v>234</v>
      </c>
      <c r="C13" s="322" t="s">
        <v>235</v>
      </c>
      <c r="D13" s="322" t="s">
        <v>236</v>
      </c>
      <c r="E13" s="322" t="s">
        <v>39</v>
      </c>
      <c r="F13" s="3"/>
      <c r="G13" s="4" t="s">
        <v>237</v>
      </c>
      <c r="H13" s="314" t="s">
        <v>238</v>
      </c>
      <c r="I13" s="314" t="s">
        <v>239</v>
      </c>
      <c r="J13" s="314" t="s">
        <v>240</v>
      </c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15.75" customHeight="1">
      <c r="A14" s="315"/>
      <c r="B14" s="315"/>
      <c r="C14" s="315"/>
      <c r="D14" s="315"/>
      <c r="E14" s="315"/>
      <c r="F14" s="336" t="s">
        <v>44</v>
      </c>
      <c r="G14" s="317"/>
      <c r="H14" s="315"/>
      <c r="I14" s="315"/>
      <c r="J14" s="315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33.75" customHeight="1">
      <c r="A15" s="307"/>
      <c r="B15" s="307"/>
      <c r="C15" s="307"/>
      <c r="D15" s="307"/>
      <c r="E15" s="307"/>
      <c r="F15" s="20"/>
      <c r="G15" s="4" t="s">
        <v>241</v>
      </c>
      <c r="H15" s="307"/>
      <c r="I15" s="307"/>
      <c r="J15" s="307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15.75" customHeight="1">
      <c r="A16" s="325" t="s">
        <v>55</v>
      </c>
      <c r="B16" s="314" t="s">
        <v>242</v>
      </c>
      <c r="C16" s="322" t="s">
        <v>243</v>
      </c>
      <c r="D16" s="322" t="s">
        <v>244</v>
      </c>
      <c r="E16" s="322" t="s">
        <v>39</v>
      </c>
      <c r="F16" s="3"/>
      <c r="G16" s="28" t="s">
        <v>245</v>
      </c>
      <c r="H16" s="314" t="s">
        <v>246</v>
      </c>
      <c r="I16" s="314" t="s">
        <v>247</v>
      </c>
      <c r="J16" s="314" t="s">
        <v>248</v>
      </c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15.75" customHeight="1">
      <c r="A17" s="326"/>
      <c r="B17" s="315"/>
      <c r="C17" s="315"/>
      <c r="D17" s="315"/>
      <c r="E17" s="315"/>
      <c r="F17" s="336" t="s">
        <v>44</v>
      </c>
      <c r="G17" s="317"/>
      <c r="H17" s="315"/>
      <c r="I17" s="315"/>
      <c r="J17" s="315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45.75" customHeight="1">
      <c r="A18" s="326"/>
      <c r="B18" s="307"/>
      <c r="C18" s="307"/>
      <c r="D18" s="307"/>
      <c r="E18" s="307"/>
      <c r="F18" s="20"/>
      <c r="G18" s="28" t="s">
        <v>249</v>
      </c>
      <c r="H18" s="307"/>
      <c r="I18" s="307"/>
      <c r="J18" s="307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5.75" customHeight="1">
      <c r="A19" s="326"/>
      <c r="B19" s="314" t="s">
        <v>250</v>
      </c>
      <c r="C19" s="322" t="s">
        <v>251</v>
      </c>
      <c r="D19" s="322" t="s">
        <v>252</v>
      </c>
      <c r="E19" s="322" t="s">
        <v>39</v>
      </c>
      <c r="F19" s="3"/>
      <c r="G19" s="28" t="s">
        <v>245</v>
      </c>
      <c r="H19" s="314" t="s">
        <v>253</v>
      </c>
      <c r="I19" s="314" t="s">
        <v>254</v>
      </c>
      <c r="J19" s="314" t="s">
        <v>255</v>
      </c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15.75" customHeight="1">
      <c r="A20" s="326"/>
      <c r="B20" s="315"/>
      <c r="C20" s="315"/>
      <c r="D20" s="315"/>
      <c r="E20" s="315"/>
      <c r="F20" s="336" t="s">
        <v>44</v>
      </c>
      <c r="G20" s="317"/>
      <c r="H20" s="315"/>
      <c r="I20" s="315"/>
      <c r="J20" s="315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15.75" customHeight="1">
      <c r="A21" s="327"/>
      <c r="B21" s="307"/>
      <c r="C21" s="307"/>
      <c r="D21" s="307"/>
      <c r="E21" s="307"/>
      <c r="F21" s="20"/>
      <c r="G21" s="28" t="s">
        <v>249</v>
      </c>
      <c r="H21" s="307"/>
      <c r="I21" s="307"/>
      <c r="J21" s="307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15.75" customHeight="1">
      <c r="A22" s="318" t="s">
        <v>79</v>
      </c>
      <c r="B22" s="314" t="s">
        <v>256</v>
      </c>
      <c r="C22" s="322" t="s">
        <v>257</v>
      </c>
      <c r="D22" s="322" t="s">
        <v>258</v>
      </c>
      <c r="E22" s="322" t="s">
        <v>39</v>
      </c>
      <c r="F22" s="3"/>
      <c r="G22" s="28" t="s">
        <v>259</v>
      </c>
      <c r="H22" s="314" t="s">
        <v>260</v>
      </c>
      <c r="I22" s="314" t="s">
        <v>261</v>
      </c>
      <c r="J22" s="314" t="s">
        <v>262</v>
      </c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15.75" customHeight="1">
      <c r="A23" s="315"/>
      <c r="B23" s="315"/>
      <c r="C23" s="315"/>
      <c r="D23" s="315"/>
      <c r="E23" s="315"/>
      <c r="F23" s="336" t="s">
        <v>44</v>
      </c>
      <c r="G23" s="317"/>
      <c r="H23" s="315"/>
      <c r="I23" s="315"/>
      <c r="J23" s="315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15.75" customHeight="1">
      <c r="A24" s="315"/>
      <c r="B24" s="307"/>
      <c r="C24" s="307"/>
      <c r="D24" s="315"/>
      <c r="E24" s="315"/>
      <c r="F24" s="20"/>
      <c r="G24" s="28" t="s">
        <v>263</v>
      </c>
      <c r="H24" s="307"/>
      <c r="I24" s="307"/>
      <c r="J24" s="307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5.75" customHeight="1">
      <c r="A25" s="315"/>
      <c r="B25" s="314" t="s">
        <v>264</v>
      </c>
      <c r="C25" s="322" t="s">
        <v>265</v>
      </c>
      <c r="D25" s="315"/>
      <c r="E25" s="315"/>
      <c r="F25" s="3"/>
      <c r="G25" s="28" t="s">
        <v>266</v>
      </c>
      <c r="H25" s="314" t="s">
        <v>267</v>
      </c>
      <c r="I25" s="314" t="s">
        <v>107</v>
      </c>
      <c r="J25" s="314" t="s">
        <v>268</v>
      </c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5.75" customHeight="1">
      <c r="A26" s="315"/>
      <c r="B26" s="315"/>
      <c r="C26" s="315"/>
      <c r="D26" s="315"/>
      <c r="E26" s="315"/>
      <c r="F26" s="336" t="s">
        <v>44</v>
      </c>
      <c r="G26" s="317"/>
      <c r="H26" s="315"/>
      <c r="I26" s="315"/>
      <c r="J26" s="315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15.75" customHeight="1">
      <c r="A27" s="315"/>
      <c r="B27" s="307"/>
      <c r="C27" s="307"/>
      <c r="D27" s="315"/>
      <c r="E27" s="315"/>
      <c r="F27" s="20"/>
      <c r="G27" s="28" t="s">
        <v>249</v>
      </c>
      <c r="H27" s="307"/>
      <c r="I27" s="307"/>
      <c r="J27" s="307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16.5" customHeight="1">
      <c r="A28" s="315"/>
      <c r="B28" s="314" t="s">
        <v>269</v>
      </c>
      <c r="C28" s="322" t="s">
        <v>270</v>
      </c>
      <c r="D28" s="315"/>
      <c r="E28" s="315"/>
      <c r="F28" s="3"/>
      <c r="G28" s="28" t="s">
        <v>266</v>
      </c>
      <c r="H28" s="314" t="s">
        <v>271</v>
      </c>
      <c r="I28" s="314" t="s">
        <v>272</v>
      </c>
      <c r="J28" s="314" t="s">
        <v>273</v>
      </c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5.75" customHeight="1">
      <c r="A29" s="315"/>
      <c r="B29" s="315"/>
      <c r="C29" s="315"/>
      <c r="D29" s="315"/>
      <c r="E29" s="315"/>
      <c r="F29" s="336" t="s">
        <v>44</v>
      </c>
      <c r="G29" s="317"/>
      <c r="H29" s="315"/>
      <c r="I29" s="315"/>
      <c r="J29" s="315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15.75" customHeight="1">
      <c r="A30" s="315"/>
      <c r="B30" s="307"/>
      <c r="C30" s="307"/>
      <c r="D30" s="337"/>
      <c r="E30" s="337"/>
      <c r="F30" s="20"/>
      <c r="G30" s="28"/>
      <c r="H30" s="307"/>
      <c r="I30" s="307"/>
      <c r="J30" s="307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5.75" customHeight="1">
      <c r="A31" s="315"/>
      <c r="B31" s="314" t="s">
        <v>274</v>
      </c>
      <c r="C31" s="322" t="s">
        <v>275</v>
      </c>
      <c r="D31" s="322" t="s">
        <v>276</v>
      </c>
      <c r="E31" s="322" t="s">
        <v>39</v>
      </c>
      <c r="F31" s="3"/>
      <c r="G31" s="28" t="s">
        <v>277</v>
      </c>
      <c r="H31" s="314" t="s">
        <v>276</v>
      </c>
      <c r="I31" s="314" t="s">
        <v>278</v>
      </c>
      <c r="J31" s="314" t="s">
        <v>279</v>
      </c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15.75" customHeight="1">
      <c r="A32" s="315"/>
      <c r="B32" s="315"/>
      <c r="C32" s="315"/>
      <c r="D32" s="315"/>
      <c r="E32" s="315"/>
      <c r="F32" s="336" t="s">
        <v>44</v>
      </c>
      <c r="G32" s="317"/>
      <c r="H32" s="315"/>
      <c r="I32" s="315"/>
      <c r="J32" s="315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5.75" customHeight="1">
      <c r="A33" s="307"/>
      <c r="B33" s="307"/>
      <c r="C33" s="307"/>
      <c r="D33" s="307"/>
      <c r="E33" s="307"/>
      <c r="F33" s="20"/>
      <c r="G33" s="28" t="s">
        <v>280</v>
      </c>
      <c r="H33" s="307"/>
      <c r="I33" s="307"/>
      <c r="J33" s="307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5.75" customHeight="1">
      <c r="A34" s="24"/>
      <c r="B34" s="24"/>
      <c r="C34" s="24"/>
      <c r="D34" s="24"/>
      <c r="E34" s="24"/>
      <c r="F34" s="24"/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5.75" customHeight="1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5.75" customHeight="1">
      <c r="A36" s="24"/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15.75" customHeight="1">
      <c r="A37" s="24"/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5.75" customHeight="1">
      <c r="A38" s="24"/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24"/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5.75" customHeight="1">
      <c r="A40" s="24"/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5.75" customHeight="1">
      <c r="A41" s="24"/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5.75" customHeight="1">
      <c r="A42" s="24"/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15.75" customHeight="1">
      <c r="A43" s="24"/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5.75" customHeight="1">
      <c r="A44" s="24"/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15.75" customHeight="1">
      <c r="A45" s="24"/>
      <c r="B45" s="24"/>
      <c r="C45" s="24"/>
      <c r="D45" s="24"/>
      <c r="E45" s="24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5.75" customHeight="1">
      <c r="A46" s="24"/>
      <c r="B46" s="24"/>
      <c r="C46" s="24"/>
      <c r="D46" s="24"/>
      <c r="E46" s="24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5.75" customHeight="1">
      <c r="A47" s="24"/>
      <c r="B47" s="24"/>
      <c r="C47" s="24"/>
      <c r="D47" s="24"/>
      <c r="E47" s="24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5.75" customHeight="1">
      <c r="A48" s="24"/>
      <c r="B48" s="24"/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15.75" customHeight="1">
      <c r="A49" s="24"/>
      <c r="B49" s="24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5.75" customHeight="1">
      <c r="A50" s="24"/>
      <c r="B50" s="24"/>
      <c r="C50" s="24"/>
      <c r="D50" s="24"/>
      <c r="E50" s="24"/>
      <c r="F50" s="24"/>
      <c r="G50" s="24"/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24"/>
      <c r="B51" s="24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5.75" customHeight="1">
      <c r="A52" s="24"/>
      <c r="B52" s="24"/>
      <c r="C52" s="24"/>
      <c r="D52" s="24"/>
      <c r="E52" s="24"/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5.75" customHeight="1">
      <c r="A53" s="24"/>
      <c r="B53" s="24"/>
      <c r="C53" s="24"/>
      <c r="D53" s="24"/>
      <c r="E53" s="24"/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5.75" customHeight="1">
      <c r="A54" s="24"/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5.75" customHeight="1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15.75" customHeight="1">
      <c r="A56" s="24"/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15.75" customHeight="1">
      <c r="A57" s="24"/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15.75" customHeight="1">
      <c r="A58" s="24"/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15.75" customHeight="1">
      <c r="A59" s="24"/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15.75" customHeight="1">
      <c r="A60" s="24"/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15.75" customHeight="1">
      <c r="A61" s="24"/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15.75" customHeight="1">
      <c r="A62" s="24"/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15.75" customHeight="1">
      <c r="A63" s="24"/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15.75" customHeight="1">
      <c r="A64" s="24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15.75" customHeight="1">
      <c r="A65" s="24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15.75" customHeight="1">
      <c r="A66" s="24"/>
      <c r="B66" s="24"/>
      <c r="C66" s="24"/>
      <c r="D66" s="24"/>
      <c r="E66" s="24"/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15.75" customHeight="1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15.75" customHeight="1">
      <c r="A68" s="24"/>
      <c r="B68" s="24"/>
      <c r="C68" s="24"/>
      <c r="D68" s="24"/>
      <c r="E68" s="24"/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15.75" customHeight="1">
      <c r="A69" s="24"/>
      <c r="B69" s="24"/>
      <c r="C69" s="24"/>
      <c r="D69" s="24"/>
      <c r="E69" s="24"/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5.75" customHeight="1">
      <c r="A70" s="24"/>
      <c r="B70" s="24"/>
      <c r="C70" s="24"/>
      <c r="D70" s="24"/>
      <c r="E70" s="24"/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5.75" customHeight="1">
      <c r="A71" s="24"/>
      <c r="B71" s="24"/>
      <c r="C71" s="24"/>
      <c r="D71" s="24"/>
      <c r="E71" s="24"/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5.75" customHeight="1">
      <c r="A72" s="24"/>
      <c r="B72" s="24"/>
      <c r="C72" s="24"/>
      <c r="D72" s="24"/>
      <c r="E72" s="24"/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5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5.7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5.7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5.7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5.7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5.7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5.7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5.7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5.7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5.7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5.7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5.7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5.7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5.7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5.7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5.7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5.7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5.7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5.7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5.7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5.7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5.7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5.7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5.7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5.7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5.7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5.7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5.7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5.7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5.7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5.7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5.7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5.7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5.7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5.7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5.7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5.7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5.7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5.7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5.7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5.7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5.7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5.7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5.7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5.7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5.7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5.7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5.7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5.7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5.7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5.7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5.7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5.7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5.7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5.7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5.7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5.7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5.7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5.7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5.7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5.7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5.7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5.7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5.7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5.7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5.7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5.7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5.7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5.7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5.7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5.7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5.7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5.7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5.7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5.7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5.7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5.7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5.7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5.7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5.7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5.7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5.7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5.7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5.7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5.7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5.7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5.7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5.7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5.7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5.7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5.7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5.7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5.7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5.7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5.7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5.7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5.7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5.7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5.7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5.7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5.7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5.7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5.7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5.7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5.7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5.7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5.7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5.7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5.7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5.7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5.7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5.7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5.7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5.7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5.7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5.7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5.7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5.7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5.7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5.7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5.7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5.7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5.7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5.7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5.7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5.7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5.7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5.7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5.7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5.7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5.7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5.7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5.7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5.7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5.7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5.7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5.7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5.7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5.7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5.7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5.7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5.7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5.7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5.7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5.7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5.7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5.7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5.7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5.7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5.7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5.7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5.7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5.7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5.7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5.7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5.7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5.7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5.7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5.7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5.7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5.7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5.7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5.7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5.7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5.7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5.7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5.7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5.7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5.7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5.7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5.7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5.7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5.7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5.7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5.7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5.7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5.7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5.7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5.7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5.7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5.7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5.7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5.7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5.7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5.7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5.7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5.7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5.7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5.7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5.7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5.7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5.7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5.7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5.7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5.7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5.7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5.7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5.7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5.7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5.7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5.7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5.7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5.7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5.7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5.7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5.7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5.7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5.7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5.7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5.7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5.7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5.7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5.7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5.7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5.7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5.7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5.7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5.7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5.7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5.7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5.7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5.7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5.7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5.7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5.7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5.7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5.7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5.7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5.7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5.7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5.7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5.7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5.7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5.7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5.7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5.7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5.7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5.7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5.7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5.7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5.7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5.7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5.7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5.7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5.7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5.7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5.7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5.7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5.7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5.7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5.7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5.7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5.7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5.7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5.7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5.7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5.7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5.7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5.7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5.7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5.7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5.7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5.7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5.7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5.7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5.7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5.7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5.7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5.7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5.7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5.7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5.7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5.7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5.7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5.7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5.7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5.7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5.7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5.7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5.7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5.7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5.7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5.7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5.7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5.7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5.7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5.7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5.7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5.7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5.7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5.7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5.7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5.7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5.7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5.7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5.7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5.7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5.7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5.7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5.7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5.7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5.7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5.7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5.7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5.7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5.7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5.7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5.7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5.7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5.7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5.7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5.7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5.7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5.7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5.7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5.7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5.7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5.7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5.7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5.7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5.7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5.7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5.7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5.7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5.7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5.7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5.7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5.7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5.7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5.7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5.7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5.7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5.7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5.7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5.7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5.7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5.7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5.7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5.7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5.7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5.7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5.7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5.7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5.7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5.7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5.7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5.7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5.7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5.7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5.7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5.7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5.7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5.7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5.7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5.7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5.7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5.7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5.7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5.7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5.7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5.7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5.7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5.7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5.7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5.7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5.7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5.7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5.7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5.7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5.7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5.7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5.7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5.7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5.7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5.7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5.7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5.7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5.7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5.7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5.7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5.7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5.7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5.7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5.7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5.7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5.7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5.7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5.7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5.7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5.7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5.7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5.7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5.7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5.7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5.7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5.7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5.7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5.7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5.7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5.7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5.7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5.7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5.7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5.7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5.7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5.7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5.7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5.7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5.75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5.75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5.75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5.75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5.75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5.75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5.75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5.75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5.75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5.75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5.75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5.75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5.75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5.75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5.75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5.75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5.75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5.75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5.75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5.75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5.75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5.75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5.75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5.75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5.75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5.75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5.75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5.75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5.75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5.75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5.75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5.75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5.75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5.75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5.75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5.75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5.75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5.75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5.75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5.75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5.75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5.75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5.75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5.75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5.75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5.75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5.75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5.75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5.75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5.75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5.75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5.75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5.75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5.75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5.75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5.75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5.75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5.75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5.75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5.75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5.75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5.75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5.75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5.75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5.75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5.75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5.75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5.75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5.75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5.75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5.75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5.75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5.75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5.75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5.75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5.75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5.75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5.75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5.75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5.75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5.75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5.75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5.75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5.75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5.75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5.75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5.75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5.75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5.75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5.75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5.75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5.75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5.75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5.75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5.75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5.75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5.75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5.75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5.75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5.75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5.75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5.75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5.75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5.75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5.75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5.75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5.75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5.75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5.75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5.75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5.75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5.75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5.75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5.75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5.75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5.75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5.75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5.75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5.75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5.75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5.75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5.75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5.75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5.75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5.75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5.75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5.75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5.75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5.75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5.75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5.75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5.75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5.75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5.75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5.75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5.75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5.75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5.75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5.75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5.75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5.75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5.75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5.75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5.75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5.75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5.75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5.75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5.75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5.75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5.75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5.75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5.75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5.75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5.75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5.75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5.75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5.75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5.75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5.75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5.75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5.75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5.75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5.75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5.75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5.75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5.75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5.75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5.75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5.75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5.75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5.75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5.75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5.75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5.75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5.75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5.75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5.75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5.75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5.75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5.75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5.75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5.75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5.75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5.75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5.75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5.75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5.75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5.75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5.75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5.75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5.75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5.75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5.75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5.75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5.75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5.75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5.75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5.75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5.75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5.75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5.75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5.75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5.75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5.75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5.75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5.75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5.75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5.75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5.75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5.75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5.75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5.75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5.75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5.75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5.75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5.75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5.75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5.75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5.75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5.75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5.75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5.75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5.75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5.75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5.75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5.75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5.75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5.75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5.75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5.75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5.75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5.75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5.75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5.75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5.75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5.75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5.75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5.75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5.75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5.75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5.75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5.75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5.75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5.75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5.75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5.75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5.75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5.75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5.75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5.75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5.75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5.75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5.75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5.75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5.75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5.75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5.75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5.75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5.75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5.75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5.75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5.75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5.75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5.75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5.75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5.75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5.75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5.75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5.75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5.75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5.75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5.75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5.75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5.75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5.75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5.75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5.75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5.75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5.75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5.75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5.75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5.75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5.75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5.75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5.75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5.75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5.75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5.75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5.75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5.75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5.75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5.75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5.75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5.75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5.75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5.75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5.75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5.75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5.75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5.75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5.75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5.75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5.75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5.75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5.75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5.75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5.75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5.75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5.75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5.75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5.75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5.75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5.75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5.75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5.75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5.75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5.75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5.75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5.75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5.75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5.75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5.75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5.75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5.75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5.75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5.75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5.75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5.75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5.75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5.75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5.75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5.75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5.75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5.75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5.75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5.75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5.75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5.75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5.75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5.75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5.75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5.75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5.75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5.75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5.75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5.75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5.75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5.75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5.75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5.75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5.75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5.75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5.75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5.75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5.75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5.75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5.75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5.75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5.75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5.75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5.75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5.75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5.75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5.75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5.75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5.75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5.75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5.75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5.75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5.75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5.75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5.75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5.75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5.75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5.75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5.75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5.75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5.75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5.75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5.75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5.75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5.75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5.75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5.75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5.75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5.75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5.75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5.75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5.75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5.75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5.75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5.75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5.75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5.75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5.75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5.75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88">
    <mergeCell ref="H16:H18"/>
    <mergeCell ref="F17:G17"/>
    <mergeCell ref="I16:I18"/>
    <mergeCell ref="J16:J18"/>
    <mergeCell ref="B19:B21"/>
    <mergeCell ref="C19:C21"/>
    <mergeCell ref="D19:D21"/>
    <mergeCell ref="E19:E21"/>
    <mergeCell ref="H19:H21"/>
    <mergeCell ref="I19:I21"/>
    <mergeCell ref="I31:I33"/>
    <mergeCell ref="J31:J33"/>
    <mergeCell ref="F32:G32"/>
    <mergeCell ref="A22:A33"/>
    <mergeCell ref="B22:B24"/>
    <mergeCell ref="C22:C24"/>
    <mergeCell ref="D22:D30"/>
    <mergeCell ref="E22:E30"/>
    <mergeCell ref="B25:B27"/>
    <mergeCell ref="C25:C27"/>
    <mergeCell ref="B31:B33"/>
    <mergeCell ref="C31:C33"/>
    <mergeCell ref="D31:D33"/>
    <mergeCell ref="E31:E33"/>
    <mergeCell ref="H31:H33"/>
    <mergeCell ref="B28:B30"/>
    <mergeCell ref="C28:C30"/>
    <mergeCell ref="F26:G26"/>
    <mergeCell ref="F29:G29"/>
    <mergeCell ref="J19:J21"/>
    <mergeCell ref="F20:G20"/>
    <mergeCell ref="H22:H24"/>
    <mergeCell ref="I22:I24"/>
    <mergeCell ref="J22:J24"/>
    <mergeCell ref="F23:G23"/>
    <mergeCell ref="H25:H27"/>
    <mergeCell ref="I25:I27"/>
    <mergeCell ref="J25:J27"/>
    <mergeCell ref="H28:H30"/>
    <mergeCell ref="I28:I30"/>
    <mergeCell ref="J28:J30"/>
    <mergeCell ref="I10:I12"/>
    <mergeCell ref="J10:J12"/>
    <mergeCell ref="B13:B15"/>
    <mergeCell ref="B16:B18"/>
    <mergeCell ref="A13:A15"/>
    <mergeCell ref="C13:C15"/>
    <mergeCell ref="D13:D15"/>
    <mergeCell ref="E13:E15"/>
    <mergeCell ref="I13:I15"/>
    <mergeCell ref="J13:J15"/>
    <mergeCell ref="A16:A21"/>
    <mergeCell ref="H13:H15"/>
    <mergeCell ref="F14:G14"/>
    <mergeCell ref="C16:C18"/>
    <mergeCell ref="D16:D18"/>
    <mergeCell ref="E16:E18"/>
    <mergeCell ref="H10:H12"/>
    <mergeCell ref="F11:G11"/>
    <mergeCell ref="A10:A12"/>
    <mergeCell ref="B10:B12"/>
    <mergeCell ref="C10:C12"/>
    <mergeCell ref="D10:D12"/>
    <mergeCell ref="E10:E12"/>
    <mergeCell ref="H5:J5"/>
    <mergeCell ref="F6:G6"/>
    <mergeCell ref="A7:B7"/>
    <mergeCell ref="I7:J7"/>
    <mergeCell ref="I8:I9"/>
    <mergeCell ref="J8:J9"/>
    <mergeCell ref="C7:E7"/>
    <mergeCell ref="F7:H7"/>
    <mergeCell ref="A8:A9"/>
    <mergeCell ref="B8:B9"/>
    <mergeCell ref="C8:E8"/>
    <mergeCell ref="F8:G9"/>
    <mergeCell ref="H8:H9"/>
    <mergeCell ref="F4:G4"/>
    <mergeCell ref="B4:C4"/>
    <mergeCell ref="A5:B5"/>
    <mergeCell ref="C5:E5"/>
    <mergeCell ref="F5:G5"/>
    <mergeCell ref="A1:B2"/>
    <mergeCell ref="C1:G2"/>
    <mergeCell ref="I1:J1"/>
    <mergeCell ref="I2:J2"/>
    <mergeCell ref="A3:G3"/>
    <mergeCell ref="H3:J3"/>
  </mergeCells>
  <conditionalFormatting sqref="F12">
    <cfRule type="cellIs" dxfId="233" priority="1" operator="lessThan">
      <formula>$F$16</formula>
    </cfRule>
    <cfRule type="cellIs" dxfId="232" priority="2" operator="greaterThanOrEqual">
      <formula>$F$16</formula>
    </cfRule>
  </conditionalFormatting>
  <conditionalFormatting sqref="F15">
    <cfRule type="cellIs" dxfId="231" priority="3" operator="lessThan">
      <formula>$F$16</formula>
    </cfRule>
    <cfRule type="cellIs" dxfId="230" priority="4" operator="greaterThanOrEqual">
      <formula>$F$16</formula>
    </cfRule>
  </conditionalFormatting>
  <conditionalFormatting sqref="F18">
    <cfRule type="cellIs" dxfId="229" priority="5" operator="lessThan">
      <formula>$F$16</formula>
    </cfRule>
    <cfRule type="cellIs" dxfId="228" priority="6" operator="greaterThanOrEqual">
      <formula>$F$16</formula>
    </cfRule>
  </conditionalFormatting>
  <conditionalFormatting sqref="F21">
    <cfRule type="cellIs" dxfId="227" priority="7" operator="lessThan">
      <formula>$F$16</formula>
    </cfRule>
    <cfRule type="cellIs" dxfId="226" priority="8" operator="greaterThanOrEqual">
      <formula>$F$16</formula>
    </cfRule>
  </conditionalFormatting>
  <conditionalFormatting sqref="F24">
    <cfRule type="cellIs" dxfId="225" priority="9" operator="lessThan">
      <formula>$F$16</formula>
    </cfRule>
    <cfRule type="cellIs" dxfId="224" priority="10" operator="greaterThanOrEqual">
      <formula>$F$16</formula>
    </cfRule>
  </conditionalFormatting>
  <conditionalFormatting sqref="F27">
    <cfRule type="cellIs" dxfId="223" priority="11" operator="lessThan">
      <formula>$F$16</formula>
    </cfRule>
    <cfRule type="cellIs" dxfId="222" priority="12" operator="greaterThanOrEqual">
      <formula>$F$16</formula>
    </cfRule>
  </conditionalFormatting>
  <conditionalFormatting sqref="F30">
    <cfRule type="cellIs" dxfId="221" priority="13" operator="lessThan">
      <formula>$F$16</formula>
    </cfRule>
    <cfRule type="cellIs" dxfId="220" priority="14" operator="greaterThanOrEqual">
      <formula>$F$16</formula>
    </cfRule>
  </conditionalFormatting>
  <conditionalFormatting sqref="F33">
    <cfRule type="cellIs" dxfId="219" priority="15" operator="lessThan">
      <formula>$F$16</formula>
    </cfRule>
    <cfRule type="cellIs" dxfId="218" priority="16" operator="greaterThanOrEqual">
      <formula>$F$16</formula>
    </cfRule>
  </conditionalFormatting>
  <conditionalFormatting sqref="J4">
    <cfRule type="cellIs" dxfId="217" priority="17" operator="lessThan">
      <formula>$H$4</formula>
    </cfRule>
    <cfRule type="cellIs" dxfId="216" priority="18" operator="greaterThan">
      <formula>$H$4</formula>
    </cfRule>
  </conditionalFormatting>
  <pageMargins left="0.7" right="0.7" top="0.75" bottom="0.75" header="0" footer="0"/>
  <pageSetup scale="28"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tabColor rgb="FF385623"/>
  </sheetPr>
  <dimension ref="A1:Z1000"/>
  <sheetViews>
    <sheetView workbookViewId="0"/>
  </sheetViews>
  <sheetFormatPr baseColWidth="10" defaultColWidth="11.1640625" defaultRowHeight="15" customHeight="1"/>
  <cols>
    <col min="1" max="1" width="30.83203125" customWidth="1"/>
    <col min="2" max="2" width="25.5" customWidth="1"/>
    <col min="3" max="3" width="38.83203125" customWidth="1"/>
    <col min="4" max="4" width="25.83203125" customWidth="1"/>
    <col min="5" max="5" width="34.6640625" customWidth="1"/>
    <col min="6" max="6" width="33" customWidth="1"/>
    <col min="7" max="7" width="49" customWidth="1"/>
    <col min="8" max="8" width="30.1640625" customWidth="1"/>
    <col min="9" max="9" width="40.6640625" customWidth="1"/>
    <col min="10" max="10" width="30.5" customWidth="1"/>
    <col min="11" max="26" width="10.5" customWidth="1"/>
  </cols>
  <sheetData>
    <row r="1" spans="1:26" ht="15.75" customHeight="1">
      <c r="A1" s="338"/>
      <c r="B1" s="278"/>
      <c r="C1" s="338" t="s">
        <v>281</v>
      </c>
      <c r="D1" s="281"/>
      <c r="E1" s="281"/>
      <c r="F1" s="281"/>
      <c r="G1" s="282"/>
      <c r="H1" s="29" t="s">
        <v>166</v>
      </c>
      <c r="I1" s="339" t="s">
        <v>167</v>
      </c>
      <c r="J1" s="286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</row>
    <row r="2" spans="1:26" ht="207" customHeight="1">
      <c r="A2" s="279"/>
      <c r="B2" s="280"/>
      <c r="C2" s="279"/>
      <c r="D2" s="283"/>
      <c r="E2" s="283"/>
      <c r="F2" s="283"/>
      <c r="G2" s="284"/>
      <c r="H2" s="29" t="s">
        <v>168</v>
      </c>
      <c r="I2" s="340">
        <v>43691</v>
      </c>
      <c r="J2" s="286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</row>
    <row r="3" spans="1:26" ht="15.75" customHeight="1">
      <c r="A3" s="295" t="s">
        <v>4</v>
      </c>
      <c r="B3" s="332"/>
      <c r="C3" s="332"/>
      <c r="D3" s="332"/>
      <c r="E3" s="332"/>
      <c r="F3" s="341"/>
      <c r="G3" s="31"/>
      <c r="H3" s="290">
        <v>501</v>
      </c>
      <c r="I3" s="289"/>
      <c r="J3" s="286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ht="15.75" customHeight="1">
      <c r="A4" s="25" t="s">
        <v>169</v>
      </c>
      <c r="B4" s="308" t="s">
        <v>282</v>
      </c>
      <c r="C4" s="286"/>
      <c r="D4" s="26" t="s">
        <v>8</v>
      </c>
      <c r="E4" s="11">
        <v>2024</v>
      </c>
      <c r="F4" s="308" t="s">
        <v>171</v>
      </c>
      <c r="G4" s="286"/>
      <c r="H4" s="12">
        <v>60000000</v>
      </c>
      <c r="I4" s="13" t="s">
        <v>10</v>
      </c>
      <c r="J4" s="1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 ht="15.75" customHeight="1">
      <c r="A5" s="295" t="s">
        <v>11</v>
      </c>
      <c r="B5" s="296"/>
      <c r="C5" s="342" t="s">
        <v>283</v>
      </c>
      <c r="D5" s="289"/>
      <c r="E5" s="286"/>
      <c r="F5" s="308" t="s">
        <v>174</v>
      </c>
      <c r="G5" s="286"/>
      <c r="H5" s="299" t="s">
        <v>284</v>
      </c>
      <c r="I5" s="289"/>
      <c r="J5" s="286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</row>
    <row r="6" spans="1:26" ht="99" customHeight="1">
      <c r="A6" s="25" t="s">
        <v>17</v>
      </c>
      <c r="B6" s="27" t="s">
        <v>18</v>
      </c>
      <c r="C6" s="16" t="s">
        <v>285</v>
      </c>
      <c r="D6" s="2" t="s">
        <v>20</v>
      </c>
      <c r="E6" s="16" t="s">
        <v>286</v>
      </c>
      <c r="F6" s="334" t="s">
        <v>13</v>
      </c>
      <c r="G6" s="294"/>
      <c r="H6" s="16" t="s">
        <v>287</v>
      </c>
      <c r="I6" s="2" t="s">
        <v>15</v>
      </c>
      <c r="J6" s="16" t="s">
        <v>288</v>
      </c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</row>
    <row r="7" spans="1:26" ht="48" customHeight="1">
      <c r="A7" s="301" t="s">
        <v>22</v>
      </c>
      <c r="B7" s="302"/>
      <c r="C7" s="303" t="s">
        <v>289</v>
      </c>
      <c r="D7" s="289"/>
      <c r="E7" s="286"/>
      <c r="F7" s="335" t="s">
        <v>23</v>
      </c>
      <c r="G7" s="332"/>
      <c r="H7" s="296"/>
      <c r="I7" s="303" t="s">
        <v>225</v>
      </c>
      <c r="J7" s="286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</row>
    <row r="8" spans="1:26" ht="15.75" customHeight="1">
      <c r="A8" s="309" t="s">
        <v>25</v>
      </c>
      <c r="B8" s="310" t="s">
        <v>26</v>
      </c>
      <c r="C8" s="312" t="s">
        <v>27</v>
      </c>
      <c r="D8" s="289"/>
      <c r="E8" s="286"/>
      <c r="F8" s="313" t="s">
        <v>28</v>
      </c>
      <c r="G8" s="282"/>
      <c r="H8" s="306" t="s">
        <v>29</v>
      </c>
      <c r="I8" s="304" t="s">
        <v>30</v>
      </c>
      <c r="J8" s="306" t="s">
        <v>31</v>
      </c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</row>
    <row r="9" spans="1:26" ht="15.75" customHeight="1">
      <c r="A9" s="307"/>
      <c r="B9" s="311"/>
      <c r="C9" s="17" t="s">
        <v>32</v>
      </c>
      <c r="D9" s="18" t="s">
        <v>33</v>
      </c>
      <c r="E9" s="19" t="s">
        <v>34</v>
      </c>
      <c r="F9" s="279"/>
      <c r="G9" s="284"/>
      <c r="H9" s="307"/>
      <c r="I9" s="305"/>
      <c r="J9" s="307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</row>
    <row r="10" spans="1:26" ht="18" customHeight="1">
      <c r="A10" s="318" t="s">
        <v>35</v>
      </c>
      <c r="B10" s="343" t="s">
        <v>290</v>
      </c>
      <c r="C10" s="319" t="s">
        <v>112</v>
      </c>
      <c r="D10" s="322" t="s">
        <v>113</v>
      </c>
      <c r="E10" s="322" t="s">
        <v>39</v>
      </c>
      <c r="F10" s="3">
        <v>68.39</v>
      </c>
      <c r="G10" s="4" t="s">
        <v>291</v>
      </c>
      <c r="H10" s="314" t="s">
        <v>292</v>
      </c>
      <c r="I10" s="314" t="s">
        <v>293</v>
      </c>
      <c r="J10" s="314" t="s">
        <v>294</v>
      </c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</row>
    <row r="11" spans="1:26" ht="15.75" customHeight="1">
      <c r="A11" s="315"/>
      <c r="B11" s="315"/>
      <c r="C11" s="320"/>
      <c r="D11" s="315"/>
      <c r="E11" s="315"/>
      <c r="F11" s="336" t="s">
        <v>44</v>
      </c>
      <c r="G11" s="317"/>
      <c r="H11" s="315"/>
      <c r="I11" s="315"/>
      <c r="J11" s="315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</row>
    <row r="12" spans="1:26" ht="15.75" customHeight="1">
      <c r="A12" s="307"/>
      <c r="B12" s="307"/>
      <c r="C12" s="321"/>
      <c r="D12" s="307"/>
      <c r="E12" s="307"/>
      <c r="F12" s="20"/>
      <c r="G12" s="4" t="s">
        <v>295</v>
      </c>
      <c r="H12" s="307"/>
      <c r="I12" s="307"/>
      <c r="J12" s="307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</row>
    <row r="13" spans="1:26" ht="72" customHeight="1">
      <c r="A13" s="324" t="s">
        <v>46</v>
      </c>
      <c r="B13" s="343" t="s">
        <v>296</v>
      </c>
      <c r="C13" s="322" t="s">
        <v>297</v>
      </c>
      <c r="D13" s="322" t="s">
        <v>298</v>
      </c>
      <c r="E13" s="322" t="s">
        <v>299</v>
      </c>
      <c r="F13" s="3">
        <v>7.92</v>
      </c>
      <c r="G13" s="4" t="s">
        <v>300</v>
      </c>
      <c r="H13" s="314" t="s">
        <v>301</v>
      </c>
      <c r="I13" s="314" t="s">
        <v>302</v>
      </c>
      <c r="J13" s="314" t="s">
        <v>303</v>
      </c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</row>
    <row r="14" spans="1:26" ht="37.5" customHeight="1">
      <c r="A14" s="315"/>
      <c r="B14" s="315"/>
      <c r="C14" s="315"/>
      <c r="D14" s="315"/>
      <c r="E14" s="315"/>
      <c r="F14" s="336" t="s">
        <v>44</v>
      </c>
      <c r="G14" s="317"/>
      <c r="H14" s="315"/>
      <c r="I14" s="315"/>
      <c r="J14" s="315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</row>
    <row r="15" spans="1:26" ht="70.5" customHeight="1">
      <c r="A15" s="307"/>
      <c r="B15" s="307"/>
      <c r="C15" s="307"/>
      <c r="D15" s="307"/>
      <c r="E15" s="307"/>
      <c r="F15" s="20"/>
      <c r="G15" s="4" t="s">
        <v>304</v>
      </c>
      <c r="H15" s="307"/>
      <c r="I15" s="307"/>
      <c r="J15" s="307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</row>
    <row r="16" spans="1:26" ht="30.75" customHeight="1">
      <c r="A16" s="325" t="s">
        <v>55</v>
      </c>
      <c r="B16" s="344" t="s">
        <v>305</v>
      </c>
      <c r="C16" s="322" t="s">
        <v>306</v>
      </c>
      <c r="D16" s="322" t="s">
        <v>307</v>
      </c>
      <c r="E16" s="322" t="s">
        <v>308</v>
      </c>
      <c r="F16" s="3">
        <v>52.57</v>
      </c>
      <c r="G16" s="4" t="s">
        <v>309</v>
      </c>
      <c r="H16" s="314" t="s">
        <v>310</v>
      </c>
      <c r="I16" s="314" t="s">
        <v>307</v>
      </c>
      <c r="J16" s="314" t="s">
        <v>311</v>
      </c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</row>
    <row r="17" spans="1:26" ht="24.75" customHeight="1">
      <c r="A17" s="326"/>
      <c r="B17" s="315"/>
      <c r="C17" s="315"/>
      <c r="D17" s="315"/>
      <c r="E17" s="315"/>
      <c r="F17" s="346" t="s">
        <v>44</v>
      </c>
      <c r="G17" s="286"/>
      <c r="H17" s="315"/>
      <c r="I17" s="315"/>
      <c r="J17" s="315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</row>
    <row r="18" spans="1:26" ht="36" customHeight="1">
      <c r="A18" s="326"/>
      <c r="B18" s="307"/>
      <c r="C18" s="307"/>
      <c r="D18" s="307"/>
      <c r="E18" s="307"/>
      <c r="F18" s="20"/>
      <c r="G18" s="28" t="s">
        <v>249</v>
      </c>
      <c r="H18" s="307"/>
      <c r="I18" s="307"/>
      <c r="J18" s="307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</row>
    <row r="19" spans="1:26" ht="18" customHeight="1">
      <c r="A19" s="326"/>
      <c r="B19" s="343" t="s">
        <v>312</v>
      </c>
      <c r="C19" s="322" t="s">
        <v>313</v>
      </c>
      <c r="D19" s="322" t="s">
        <v>314</v>
      </c>
      <c r="E19" s="322" t="s">
        <v>39</v>
      </c>
      <c r="F19" s="3">
        <v>80</v>
      </c>
      <c r="G19" s="4" t="s">
        <v>315</v>
      </c>
      <c r="H19" s="314" t="s">
        <v>316</v>
      </c>
      <c r="I19" s="314" t="s">
        <v>317</v>
      </c>
      <c r="J19" s="314" t="s">
        <v>318</v>
      </c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</row>
    <row r="20" spans="1:26" ht="42" customHeight="1">
      <c r="A20" s="326"/>
      <c r="B20" s="315"/>
      <c r="C20" s="315"/>
      <c r="D20" s="315"/>
      <c r="E20" s="315"/>
      <c r="F20" s="346" t="s">
        <v>44</v>
      </c>
      <c r="G20" s="286"/>
      <c r="H20" s="315"/>
      <c r="I20" s="315"/>
      <c r="J20" s="315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</row>
    <row r="21" spans="1:26" ht="34.5" customHeight="1">
      <c r="A21" s="326"/>
      <c r="B21" s="307"/>
      <c r="C21" s="307"/>
      <c r="D21" s="307"/>
      <c r="E21" s="307"/>
      <c r="F21" s="20"/>
      <c r="G21" s="28" t="s">
        <v>319</v>
      </c>
      <c r="H21" s="307"/>
      <c r="I21" s="307"/>
      <c r="J21" s="307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</row>
    <row r="22" spans="1:26" ht="30" customHeight="1">
      <c r="A22" s="326"/>
      <c r="B22" s="343" t="s">
        <v>320</v>
      </c>
      <c r="C22" s="322" t="s">
        <v>321</v>
      </c>
      <c r="D22" s="322" t="s">
        <v>322</v>
      </c>
      <c r="E22" s="322" t="s">
        <v>39</v>
      </c>
      <c r="F22" s="3">
        <v>93.4</v>
      </c>
      <c r="G22" s="4" t="s">
        <v>323</v>
      </c>
      <c r="H22" s="314" t="s">
        <v>324</v>
      </c>
      <c r="I22" s="314" t="s">
        <v>325</v>
      </c>
      <c r="J22" s="314" t="s">
        <v>326</v>
      </c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</row>
    <row r="23" spans="1:26" ht="54.75" customHeight="1">
      <c r="A23" s="326"/>
      <c r="B23" s="315"/>
      <c r="C23" s="315"/>
      <c r="D23" s="315"/>
      <c r="E23" s="315"/>
      <c r="F23" s="346" t="s">
        <v>44</v>
      </c>
      <c r="G23" s="286"/>
      <c r="H23" s="315"/>
      <c r="I23" s="315"/>
      <c r="J23" s="315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</row>
    <row r="24" spans="1:26" ht="36.75" customHeight="1">
      <c r="A24" s="326"/>
      <c r="B24" s="307"/>
      <c r="C24" s="307"/>
      <c r="D24" s="307"/>
      <c r="E24" s="307"/>
      <c r="F24" s="20"/>
      <c r="G24" s="28" t="s">
        <v>249</v>
      </c>
      <c r="H24" s="307"/>
      <c r="I24" s="307"/>
      <c r="J24" s="307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</row>
    <row r="25" spans="1:26" ht="135.75" customHeight="1">
      <c r="A25" s="326"/>
      <c r="B25" s="344" t="s">
        <v>327</v>
      </c>
      <c r="C25" s="322" t="s">
        <v>328</v>
      </c>
      <c r="D25" s="322" t="s">
        <v>329</v>
      </c>
      <c r="E25" s="322" t="s">
        <v>39</v>
      </c>
      <c r="F25" s="3">
        <v>14.97</v>
      </c>
      <c r="G25" s="4" t="s">
        <v>330</v>
      </c>
      <c r="H25" s="314" t="s">
        <v>331</v>
      </c>
      <c r="I25" s="314" t="s">
        <v>332</v>
      </c>
      <c r="J25" s="314" t="s">
        <v>333</v>
      </c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</row>
    <row r="26" spans="1:26" ht="15.75" customHeight="1">
      <c r="A26" s="326"/>
      <c r="B26" s="315"/>
      <c r="C26" s="315"/>
      <c r="D26" s="315"/>
      <c r="E26" s="315"/>
      <c r="F26" s="336" t="s">
        <v>44</v>
      </c>
      <c r="G26" s="317"/>
      <c r="H26" s="315"/>
      <c r="I26" s="315"/>
      <c r="J26" s="315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</row>
    <row r="27" spans="1:26" ht="57" customHeight="1">
      <c r="A27" s="326"/>
      <c r="B27" s="307"/>
      <c r="C27" s="307"/>
      <c r="D27" s="307"/>
      <c r="E27" s="307"/>
      <c r="F27" s="20"/>
      <c r="G27" s="28" t="s">
        <v>334</v>
      </c>
      <c r="H27" s="307"/>
      <c r="I27" s="307"/>
      <c r="J27" s="307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</row>
    <row r="28" spans="1:26" ht="34.5" customHeight="1">
      <c r="A28" s="326"/>
      <c r="B28" s="344" t="s">
        <v>335</v>
      </c>
      <c r="C28" s="322" t="s">
        <v>336</v>
      </c>
      <c r="D28" s="322" t="s">
        <v>329</v>
      </c>
      <c r="E28" s="322" t="s">
        <v>39</v>
      </c>
      <c r="F28" s="3">
        <v>0</v>
      </c>
      <c r="G28" s="4" t="s">
        <v>337</v>
      </c>
      <c r="H28" s="314" t="s">
        <v>338</v>
      </c>
      <c r="I28" s="314" t="s">
        <v>207</v>
      </c>
      <c r="J28" s="314" t="s">
        <v>339</v>
      </c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</row>
    <row r="29" spans="1:26" ht="15.75" customHeight="1">
      <c r="A29" s="326"/>
      <c r="B29" s="315"/>
      <c r="C29" s="315"/>
      <c r="D29" s="315"/>
      <c r="E29" s="315"/>
      <c r="F29" s="336" t="s">
        <v>44</v>
      </c>
      <c r="G29" s="317"/>
      <c r="H29" s="315"/>
      <c r="I29" s="315"/>
      <c r="J29" s="315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</row>
    <row r="30" spans="1:26" ht="93.75" customHeight="1">
      <c r="A30" s="326"/>
      <c r="B30" s="307"/>
      <c r="C30" s="307"/>
      <c r="D30" s="307"/>
      <c r="E30" s="307"/>
      <c r="F30" s="20"/>
      <c r="G30" s="4" t="s">
        <v>340</v>
      </c>
      <c r="H30" s="307"/>
      <c r="I30" s="307"/>
      <c r="J30" s="307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</row>
    <row r="31" spans="1:26" ht="18" customHeight="1">
      <c r="A31" s="326"/>
      <c r="B31" s="344" t="s">
        <v>341</v>
      </c>
      <c r="C31" s="322" t="s">
        <v>342</v>
      </c>
      <c r="D31" s="322" t="s">
        <v>314</v>
      </c>
      <c r="E31" s="322" t="s">
        <v>39</v>
      </c>
      <c r="F31" s="3">
        <v>94.41</v>
      </c>
      <c r="G31" s="4" t="s">
        <v>343</v>
      </c>
      <c r="H31" s="314" t="s">
        <v>344</v>
      </c>
      <c r="I31" s="314" t="s">
        <v>345</v>
      </c>
      <c r="J31" s="314" t="s">
        <v>346</v>
      </c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</row>
    <row r="32" spans="1:26" ht="63.75" customHeight="1">
      <c r="A32" s="326"/>
      <c r="B32" s="315"/>
      <c r="C32" s="315"/>
      <c r="D32" s="315"/>
      <c r="E32" s="315"/>
      <c r="F32" s="336" t="s">
        <v>44</v>
      </c>
      <c r="G32" s="317"/>
      <c r="H32" s="315"/>
      <c r="I32" s="315"/>
      <c r="J32" s="315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</row>
    <row r="33" spans="1:26" ht="16.5" customHeight="1">
      <c r="A33" s="305"/>
      <c r="B33" s="307"/>
      <c r="C33" s="307"/>
      <c r="D33" s="307"/>
      <c r="E33" s="307"/>
      <c r="F33" s="20"/>
      <c r="G33" s="28" t="s">
        <v>347</v>
      </c>
      <c r="H33" s="307"/>
      <c r="I33" s="307"/>
      <c r="J33" s="307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</row>
    <row r="34" spans="1:26" ht="18" customHeight="1">
      <c r="A34" s="318" t="s">
        <v>79</v>
      </c>
      <c r="B34" s="344" t="s">
        <v>348</v>
      </c>
      <c r="C34" s="322" t="s">
        <v>349</v>
      </c>
      <c r="D34" s="322" t="s">
        <v>329</v>
      </c>
      <c r="E34" s="322" t="s">
        <v>39</v>
      </c>
      <c r="F34" s="21"/>
      <c r="G34" s="4" t="s">
        <v>350</v>
      </c>
      <c r="H34" s="314" t="s">
        <v>351</v>
      </c>
      <c r="I34" s="314" t="s">
        <v>207</v>
      </c>
      <c r="J34" s="314" t="s">
        <v>352</v>
      </c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</row>
    <row r="35" spans="1:26" ht="15.75" customHeight="1">
      <c r="A35" s="315"/>
      <c r="B35" s="315"/>
      <c r="C35" s="315"/>
      <c r="D35" s="315"/>
      <c r="E35" s="315"/>
      <c r="F35" s="345" t="s">
        <v>44</v>
      </c>
      <c r="G35" s="317"/>
      <c r="H35" s="315"/>
      <c r="I35" s="315"/>
      <c r="J35" s="315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</row>
    <row r="36" spans="1:26" ht="15.75" customHeight="1">
      <c r="A36" s="315"/>
      <c r="B36" s="315"/>
      <c r="C36" s="307"/>
      <c r="D36" s="315"/>
      <c r="E36" s="315"/>
      <c r="F36" s="22"/>
      <c r="G36" s="4" t="s">
        <v>353</v>
      </c>
      <c r="H36" s="307"/>
      <c r="I36" s="307"/>
      <c r="J36" s="307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</row>
    <row r="37" spans="1:26" ht="34.5" customHeight="1">
      <c r="A37" s="315"/>
      <c r="B37" s="315"/>
      <c r="C37" s="314" t="s">
        <v>354</v>
      </c>
      <c r="D37" s="315"/>
      <c r="E37" s="315"/>
      <c r="F37" s="21"/>
      <c r="G37" s="4" t="s">
        <v>350</v>
      </c>
      <c r="H37" s="314" t="s">
        <v>351</v>
      </c>
      <c r="I37" s="314" t="s">
        <v>207</v>
      </c>
      <c r="J37" s="314" t="s">
        <v>352</v>
      </c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</row>
    <row r="38" spans="1:26" ht="16.5" customHeight="1">
      <c r="A38" s="315"/>
      <c r="B38" s="315"/>
      <c r="C38" s="315"/>
      <c r="D38" s="315"/>
      <c r="E38" s="315"/>
      <c r="F38" s="345" t="s">
        <v>44</v>
      </c>
      <c r="G38" s="317"/>
      <c r="H38" s="315"/>
      <c r="I38" s="315"/>
      <c r="J38" s="315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</row>
    <row r="39" spans="1:26" ht="15.75" customHeight="1">
      <c r="A39" s="315"/>
      <c r="B39" s="315"/>
      <c r="C39" s="307"/>
      <c r="D39" s="315"/>
      <c r="E39" s="315"/>
      <c r="F39" s="22"/>
      <c r="G39" s="4" t="s">
        <v>353</v>
      </c>
      <c r="H39" s="307"/>
      <c r="I39" s="307"/>
      <c r="J39" s="307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</row>
    <row r="40" spans="1:26" ht="15.75" customHeight="1">
      <c r="A40" s="315"/>
      <c r="B40" s="315"/>
      <c r="C40" s="322" t="s">
        <v>355</v>
      </c>
      <c r="D40" s="315"/>
      <c r="E40" s="315"/>
      <c r="F40" s="21"/>
      <c r="G40" s="4" t="s">
        <v>350</v>
      </c>
      <c r="H40" s="314" t="s">
        <v>351</v>
      </c>
      <c r="I40" s="314" t="s">
        <v>207</v>
      </c>
      <c r="J40" s="314" t="s">
        <v>352</v>
      </c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</row>
    <row r="41" spans="1:26" ht="16.5" customHeight="1">
      <c r="A41" s="315"/>
      <c r="B41" s="315"/>
      <c r="C41" s="315"/>
      <c r="D41" s="315"/>
      <c r="E41" s="315"/>
      <c r="F41" s="345" t="s">
        <v>44</v>
      </c>
      <c r="G41" s="317"/>
      <c r="H41" s="315"/>
      <c r="I41" s="315"/>
      <c r="J41" s="315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</row>
    <row r="42" spans="1:26" ht="15.75" customHeight="1">
      <c r="A42" s="315"/>
      <c r="B42" s="307"/>
      <c r="C42" s="307"/>
      <c r="D42" s="315"/>
      <c r="E42" s="315"/>
      <c r="F42" s="22"/>
      <c r="G42" s="4" t="s">
        <v>353</v>
      </c>
      <c r="H42" s="307"/>
      <c r="I42" s="307"/>
      <c r="J42" s="307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</row>
    <row r="43" spans="1:26" ht="63" customHeight="1">
      <c r="A43" s="315"/>
      <c r="B43" s="344" t="s">
        <v>356</v>
      </c>
      <c r="C43" s="322" t="s">
        <v>357</v>
      </c>
      <c r="D43" s="315"/>
      <c r="E43" s="315"/>
      <c r="F43" s="21"/>
      <c r="G43" s="4" t="s">
        <v>350</v>
      </c>
      <c r="H43" s="314" t="s">
        <v>351</v>
      </c>
      <c r="I43" s="314" t="s">
        <v>207</v>
      </c>
      <c r="J43" s="314" t="s">
        <v>352</v>
      </c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</row>
    <row r="44" spans="1:26" ht="13.5" customHeight="1">
      <c r="A44" s="315"/>
      <c r="B44" s="315"/>
      <c r="C44" s="315"/>
      <c r="D44" s="315"/>
      <c r="E44" s="315"/>
      <c r="F44" s="345" t="s">
        <v>44</v>
      </c>
      <c r="G44" s="317"/>
      <c r="H44" s="315"/>
      <c r="I44" s="315"/>
      <c r="J44" s="315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</row>
    <row r="45" spans="1:26" ht="22.5" customHeight="1">
      <c r="A45" s="315"/>
      <c r="B45" s="307"/>
      <c r="C45" s="307"/>
      <c r="D45" s="315"/>
      <c r="E45" s="315"/>
      <c r="F45" s="22"/>
      <c r="G45" s="4" t="s">
        <v>353</v>
      </c>
      <c r="H45" s="307"/>
      <c r="I45" s="307"/>
      <c r="J45" s="307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</row>
    <row r="46" spans="1:26" ht="18" customHeight="1">
      <c r="A46" s="315"/>
      <c r="B46" s="343" t="s">
        <v>358</v>
      </c>
      <c r="C46" s="322" t="s">
        <v>359</v>
      </c>
      <c r="D46" s="315"/>
      <c r="E46" s="315"/>
      <c r="F46" s="21"/>
      <c r="G46" s="4" t="s">
        <v>350</v>
      </c>
      <c r="H46" s="314" t="s">
        <v>351</v>
      </c>
      <c r="I46" s="314" t="s">
        <v>207</v>
      </c>
      <c r="J46" s="314" t="s">
        <v>352</v>
      </c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</row>
    <row r="47" spans="1:26" ht="16.5" customHeight="1">
      <c r="A47" s="315"/>
      <c r="B47" s="315"/>
      <c r="C47" s="315"/>
      <c r="D47" s="315"/>
      <c r="E47" s="315"/>
      <c r="F47" s="345" t="s">
        <v>44</v>
      </c>
      <c r="G47" s="317"/>
      <c r="H47" s="315"/>
      <c r="I47" s="315"/>
      <c r="J47" s="315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</row>
    <row r="48" spans="1:26" ht="162.75" customHeight="1">
      <c r="A48" s="315"/>
      <c r="B48" s="307"/>
      <c r="C48" s="307"/>
      <c r="D48" s="315"/>
      <c r="E48" s="315"/>
      <c r="F48" s="22"/>
      <c r="G48" s="4" t="s">
        <v>353</v>
      </c>
      <c r="H48" s="307"/>
      <c r="I48" s="307"/>
      <c r="J48" s="307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</row>
    <row r="49" spans="1:26" ht="34.5" customHeight="1">
      <c r="A49" s="315"/>
      <c r="B49" s="344" t="s">
        <v>360</v>
      </c>
      <c r="C49" s="322" t="s">
        <v>361</v>
      </c>
      <c r="D49" s="315"/>
      <c r="E49" s="315"/>
      <c r="F49" s="32">
        <v>0.8</v>
      </c>
      <c r="G49" s="4" t="s">
        <v>362</v>
      </c>
      <c r="H49" s="314" t="s">
        <v>363</v>
      </c>
      <c r="I49" s="314" t="s">
        <v>364</v>
      </c>
      <c r="J49" s="314" t="s">
        <v>365</v>
      </c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</row>
    <row r="50" spans="1:26" ht="15.75" customHeight="1">
      <c r="A50" s="315"/>
      <c r="B50" s="315"/>
      <c r="C50" s="315"/>
      <c r="D50" s="315"/>
      <c r="E50" s="315"/>
      <c r="F50" s="345" t="s">
        <v>44</v>
      </c>
      <c r="G50" s="317"/>
      <c r="H50" s="315"/>
      <c r="I50" s="315"/>
      <c r="J50" s="315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</row>
    <row r="51" spans="1:26" ht="15.75" customHeight="1">
      <c r="A51" s="315"/>
      <c r="B51" s="307"/>
      <c r="C51" s="307"/>
      <c r="D51" s="315"/>
      <c r="E51" s="315"/>
      <c r="F51" s="22"/>
      <c r="G51" s="4" t="s">
        <v>366</v>
      </c>
      <c r="H51" s="307"/>
      <c r="I51" s="307"/>
      <c r="J51" s="307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</row>
    <row r="52" spans="1:26" ht="18" customHeight="1">
      <c r="A52" s="315"/>
      <c r="B52" s="344" t="s">
        <v>367</v>
      </c>
      <c r="C52" s="322" t="s">
        <v>368</v>
      </c>
      <c r="D52" s="315"/>
      <c r="E52" s="315"/>
      <c r="F52" s="21"/>
      <c r="G52" s="4" t="s">
        <v>350</v>
      </c>
      <c r="H52" s="314" t="s">
        <v>351</v>
      </c>
      <c r="I52" s="314" t="s">
        <v>207</v>
      </c>
      <c r="J52" s="314" t="s">
        <v>352</v>
      </c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</row>
    <row r="53" spans="1:26" ht="16.5" customHeight="1">
      <c r="A53" s="315"/>
      <c r="B53" s="315"/>
      <c r="C53" s="315"/>
      <c r="D53" s="315"/>
      <c r="E53" s="315"/>
      <c r="F53" s="345" t="s">
        <v>44</v>
      </c>
      <c r="G53" s="317"/>
      <c r="H53" s="315"/>
      <c r="I53" s="315"/>
      <c r="J53" s="315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</row>
    <row r="54" spans="1:26" ht="135.75" customHeight="1">
      <c r="A54" s="315"/>
      <c r="B54" s="307"/>
      <c r="C54" s="307"/>
      <c r="D54" s="315"/>
      <c r="E54" s="315"/>
      <c r="F54" s="22"/>
      <c r="G54" s="4" t="s">
        <v>353</v>
      </c>
      <c r="H54" s="307"/>
      <c r="I54" s="307"/>
      <c r="J54" s="307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</row>
    <row r="55" spans="1:26" ht="18" customHeight="1">
      <c r="A55" s="315"/>
      <c r="B55" s="344" t="s">
        <v>369</v>
      </c>
      <c r="C55" s="347" t="s">
        <v>370</v>
      </c>
      <c r="D55" s="315"/>
      <c r="E55" s="315"/>
      <c r="F55" s="21"/>
      <c r="G55" s="4" t="s">
        <v>371</v>
      </c>
      <c r="H55" s="314" t="s">
        <v>372</v>
      </c>
      <c r="I55" s="314" t="s">
        <v>329</v>
      </c>
      <c r="J55" s="314" t="s">
        <v>373</v>
      </c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</row>
    <row r="56" spans="1:26" ht="51" customHeight="1">
      <c r="A56" s="315"/>
      <c r="B56" s="315"/>
      <c r="C56" s="315"/>
      <c r="D56" s="315"/>
      <c r="E56" s="315"/>
      <c r="F56" s="345" t="s">
        <v>44</v>
      </c>
      <c r="G56" s="317"/>
      <c r="H56" s="315"/>
      <c r="I56" s="315"/>
      <c r="J56" s="315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</row>
    <row r="57" spans="1:26" ht="51" customHeight="1">
      <c r="A57" s="315"/>
      <c r="B57" s="307"/>
      <c r="C57" s="307"/>
      <c r="D57" s="315"/>
      <c r="E57" s="315"/>
      <c r="F57" s="22"/>
      <c r="G57" s="4" t="s">
        <v>374</v>
      </c>
      <c r="H57" s="307"/>
      <c r="I57" s="307"/>
      <c r="J57" s="307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</row>
    <row r="58" spans="1:26" ht="51" customHeight="1">
      <c r="A58" s="315"/>
      <c r="B58" s="344" t="s">
        <v>375</v>
      </c>
      <c r="C58" s="322" t="s">
        <v>376</v>
      </c>
      <c r="D58" s="315"/>
      <c r="E58" s="315"/>
      <c r="F58" s="32">
        <v>0.8</v>
      </c>
      <c r="G58" s="4" t="s">
        <v>377</v>
      </c>
      <c r="H58" s="314" t="s">
        <v>378</v>
      </c>
      <c r="I58" s="314" t="s">
        <v>207</v>
      </c>
      <c r="J58" s="314" t="s">
        <v>379</v>
      </c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</row>
    <row r="59" spans="1:26" ht="51" customHeight="1">
      <c r="A59" s="315"/>
      <c r="B59" s="315"/>
      <c r="C59" s="315"/>
      <c r="D59" s="315"/>
      <c r="E59" s="315"/>
      <c r="F59" s="345" t="s">
        <v>44</v>
      </c>
      <c r="G59" s="317"/>
      <c r="H59" s="315"/>
      <c r="I59" s="315"/>
      <c r="J59" s="315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</row>
    <row r="60" spans="1:26" ht="51" customHeight="1">
      <c r="A60" s="315"/>
      <c r="B60" s="307"/>
      <c r="C60" s="307"/>
      <c r="D60" s="315"/>
      <c r="E60" s="315"/>
      <c r="F60" s="22"/>
      <c r="G60" s="4" t="s">
        <v>353</v>
      </c>
      <c r="H60" s="307"/>
      <c r="I60" s="307"/>
      <c r="J60" s="307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</row>
    <row r="61" spans="1:26" ht="51" customHeight="1">
      <c r="A61" s="315"/>
      <c r="B61" s="344" t="s">
        <v>380</v>
      </c>
      <c r="C61" s="322" t="s">
        <v>381</v>
      </c>
      <c r="D61" s="315"/>
      <c r="E61" s="315"/>
      <c r="F61" s="21"/>
      <c r="G61" s="4" t="s">
        <v>350</v>
      </c>
      <c r="H61" s="314" t="s">
        <v>351</v>
      </c>
      <c r="I61" s="314" t="s">
        <v>207</v>
      </c>
      <c r="J61" s="314" t="s">
        <v>352</v>
      </c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</row>
    <row r="62" spans="1:26" ht="99.75" customHeight="1">
      <c r="A62" s="315"/>
      <c r="B62" s="315"/>
      <c r="C62" s="315"/>
      <c r="D62" s="315"/>
      <c r="E62" s="315"/>
      <c r="F62" s="345" t="s">
        <v>44</v>
      </c>
      <c r="G62" s="317"/>
      <c r="H62" s="315"/>
      <c r="I62" s="315"/>
      <c r="J62" s="315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</row>
    <row r="63" spans="1:26" ht="72.75" customHeight="1">
      <c r="A63" s="315"/>
      <c r="B63" s="307"/>
      <c r="C63" s="307"/>
      <c r="D63" s="315"/>
      <c r="E63" s="315"/>
      <c r="F63" s="22"/>
      <c r="G63" s="4" t="s">
        <v>353</v>
      </c>
      <c r="H63" s="307"/>
      <c r="I63" s="307"/>
      <c r="J63" s="307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</row>
    <row r="64" spans="1:26" ht="51" customHeight="1">
      <c r="A64" s="315"/>
      <c r="B64" s="344" t="s">
        <v>382</v>
      </c>
      <c r="C64" s="322" t="s">
        <v>383</v>
      </c>
      <c r="D64" s="315"/>
      <c r="E64" s="315"/>
      <c r="F64" s="21"/>
      <c r="G64" s="4" t="s">
        <v>350</v>
      </c>
      <c r="H64" s="314" t="s">
        <v>384</v>
      </c>
      <c r="I64" s="314" t="s">
        <v>207</v>
      </c>
      <c r="J64" s="314" t="s">
        <v>385</v>
      </c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</row>
    <row r="65" spans="1:26" ht="51" customHeight="1">
      <c r="A65" s="315"/>
      <c r="B65" s="315"/>
      <c r="C65" s="315"/>
      <c r="D65" s="315"/>
      <c r="E65" s="315"/>
      <c r="F65" s="345" t="s">
        <v>44</v>
      </c>
      <c r="G65" s="317"/>
      <c r="H65" s="315"/>
      <c r="I65" s="315"/>
      <c r="J65" s="315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</row>
    <row r="66" spans="1:26" ht="51" customHeight="1">
      <c r="A66" s="315"/>
      <c r="B66" s="307"/>
      <c r="C66" s="307"/>
      <c r="D66" s="315"/>
      <c r="E66" s="315"/>
      <c r="F66" s="22"/>
      <c r="G66" s="4" t="s">
        <v>353</v>
      </c>
      <c r="H66" s="307"/>
      <c r="I66" s="307"/>
      <c r="J66" s="307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</row>
    <row r="67" spans="1:26" ht="51" customHeight="1">
      <c r="A67" s="315"/>
      <c r="B67" s="344" t="s">
        <v>386</v>
      </c>
      <c r="C67" s="322" t="s">
        <v>387</v>
      </c>
      <c r="D67" s="315"/>
      <c r="E67" s="315"/>
      <c r="F67" s="21"/>
      <c r="G67" s="4" t="s">
        <v>388</v>
      </c>
      <c r="H67" s="314" t="s">
        <v>389</v>
      </c>
      <c r="I67" s="314" t="s">
        <v>207</v>
      </c>
      <c r="J67" s="314" t="s">
        <v>390</v>
      </c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</row>
    <row r="68" spans="1:26" ht="51" customHeight="1">
      <c r="A68" s="315"/>
      <c r="B68" s="315"/>
      <c r="C68" s="315"/>
      <c r="D68" s="315"/>
      <c r="E68" s="315"/>
      <c r="F68" s="345" t="s">
        <v>44</v>
      </c>
      <c r="G68" s="317"/>
      <c r="H68" s="315"/>
      <c r="I68" s="315"/>
      <c r="J68" s="315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</row>
    <row r="69" spans="1:26" ht="51" customHeight="1">
      <c r="A69" s="315"/>
      <c r="B69" s="307"/>
      <c r="C69" s="307"/>
      <c r="D69" s="315"/>
      <c r="E69" s="315"/>
      <c r="F69" s="22"/>
      <c r="G69" s="4" t="s">
        <v>391</v>
      </c>
      <c r="H69" s="307"/>
      <c r="I69" s="307"/>
      <c r="J69" s="307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</row>
    <row r="70" spans="1:26" ht="18" customHeight="1">
      <c r="A70" s="315"/>
      <c r="B70" s="344" t="s">
        <v>392</v>
      </c>
      <c r="C70" s="322" t="s">
        <v>393</v>
      </c>
      <c r="D70" s="315"/>
      <c r="E70" s="315"/>
      <c r="F70" s="21"/>
      <c r="G70" s="4" t="s">
        <v>394</v>
      </c>
      <c r="H70" s="314" t="s">
        <v>395</v>
      </c>
      <c r="I70" s="314" t="s">
        <v>396</v>
      </c>
      <c r="J70" s="314" t="s">
        <v>397</v>
      </c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</row>
    <row r="71" spans="1:26" ht="16.5" customHeight="1">
      <c r="A71" s="315"/>
      <c r="B71" s="315"/>
      <c r="C71" s="315"/>
      <c r="D71" s="315"/>
      <c r="E71" s="315"/>
      <c r="F71" s="345" t="s">
        <v>44</v>
      </c>
      <c r="G71" s="317"/>
      <c r="H71" s="315"/>
      <c r="I71" s="315"/>
      <c r="J71" s="315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</row>
    <row r="72" spans="1:26" ht="132" customHeight="1">
      <c r="A72" s="337"/>
      <c r="B72" s="307"/>
      <c r="C72" s="307"/>
      <c r="D72" s="307"/>
      <c r="E72" s="307"/>
      <c r="F72" s="22"/>
      <c r="G72" s="4" t="s">
        <v>398</v>
      </c>
      <c r="H72" s="307"/>
      <c r="I72" s="307"/>
      <c r="J72" s="307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</row>
    <row r="73" spans="1:26" ht="15.75" customHeight="1">
      <c r="A73" s="24"/>
      <c r="B73" s="24"/>
      <c r="C73" s="24"/>
      <c r="D73" s="24"/>
      <c r="E73" s="24"/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</row>
    <row r="74" spans="1:26" ht="15.75" customHeight="1">
      <c r="A74" s="24"/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</row>
    <row r="75" spans="1:26" ht="15.75" customHeight="1">
      <c r="A75" s="24"/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</row>
    <row r="76" spans="1:26" ht="15.75" customHeight="1">
      <c r="A76" s="24"/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</row>
    <row r="77" spans="1:26" ht="15.75" customHeight="1">
      <c r="A77" s="24"/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</row>
    <row r="78" spans="1:26" ht="15.75" customHeight="1">
      <c r="A78" s="24"/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</row>
    <row r="79" spans="1:26" ht="15.75" customHeight="1">
      <c r="A79" s="24"/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</row>
    <row r="80" spans="1:26" ht="15.75" customHeight="1">
      <c r="A80" s="24"/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</row>
    <row r="81" spans="1:26" ht="15.75" customHeight="1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</row>
    <row r="82" spans="1:26" ht="15.75" customHeight="1">
      <c r="A82" s="24"/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</row>
    <row r="83" spans="1:26" ht="15.75" customHeight="1">
      <c r="A83" s="24"/>
      <c r="B83" s="24"/>
      <c r="C83" s="24"/>
      <c r="D83" s="24"/>
      <c r="E83" s="24"/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</row>
    <row r="84" spans="1:26" ht="15.75" customHeight="1">
      <c r="A84" s="24"/>
      <c r="B84" s="24"/>
      <c r="C84" s="24"/>
      <c r="D84" s="24"/>
      <c r="E84" s="24"/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</row>
    <row r="85" spans="1:26" ht="15.75" customHeight="1">
      <c r="A85" s="24"/>
      <c r="B85" s="24"/>
      <c r="C85" s="24"/>
      <c r="D85" s="24"/>
      <c r="E85" s="24"/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</row>
    <row r="86" spans="1:26" ht="15.75" customHeight="1">
      <c r="A86" s="24"/>
      <c r="B86" s="24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</row>
    <row r="87" spans="1:26" ht="15.75" customHeight="1">
      <c r="A87" s="24"/>
      <c r="B87" s="24"/>
      <c r="C87" s="24"/>
      <c r="D87" s="24"/>
      <c r="E87" s="24"/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</row>
    <row r="88" spans="1:26" ht="15.75" customHeight="1">
      <c r="A88" s="24"/>
      <c r="B88" s="24"/>
      <c r="C88" s="24"/>
      <c r="D88" s="24"/>
      <c r="E88" s="24"/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</row>
    <row r="89" spans="1:26" ht="15.75" customHeight="1">
      <c r="A89" s="24"/>
      <c r="B89" s="24"/>
      <c r="C89" s="24"/>
      <c r="D89" s="24"/>
      <c r="E89" s="24"/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</row>
    <row r="90" spans="1:26" ht="15.75" customHeight="1">
      <c r="A90" s="24"/>
      <c r="B90" s="24"/>
      <c r="C90" s="24"/>
      <c r="D90" s="24"/>
      <c r="E90" s="24"/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</row>
    <row r="91" spans="1:26" ht="15.75" customHeight="1">
      <c r="A91" s="24"/>
      <c r="B91" s="24"/>
      <c r="C91" s="24"/>
      <c r="D91" s="24"/>
      <c r="E91" s="24"/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</row>
    <row r="92" spans="1:26" ht="15.75" customHeight="1">
      <c r="A92" s="24"/>
      <c r="B92" s="24"/>
      <c r="C92" s="24"/>
      <c r="D92" s="24"/>
      <c r="E92" s="24"/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</row>
    <row r="93" spans="1:26" ht="15.75" customHeight="1">
      <c r="A93" s="24"/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</row>
    <row r="94" spans="1:26" ht="15.75" customHeight="1">
      <c r="A94" s="24"/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</row>
    <row r="95" spans="1:26" ht="15.75" customHeight="1">
      <c r="A95" s="24"/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</row>
    <row r="96" spans="1:26" ht="15.75" customHeight="1">
      <c r="A96" s="24"/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</row>
    <row r="97" spans="1:26" ht="15.75" customHeight="1">
      <c r="A97" s="24"/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</row>
    <row r="98" spans="1:26" ht="15.75" customHeight="1">
      <c r="A98" s="24"/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</row>
    <row r="99" spans="1:26" ht="15.75" customHeight="1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</row>
    <row r="100" spans="1:26" ht="15.75" customHeight="1">
      <c r="A100" s="24"/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</row>
    <row r="101" spans="1:26" ht="15.75" customHeight="1">
      <c r="A101" s="24"/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</row>
    <row r="102" spans="1:26" ht="15.75" customHeight="1">
      <c r="A102" s="24"/>
      <c r="B102" s="24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</row>
    <row r="103" spans="1:26" ht="15.75" customHeight="1">
      <c r="A103" s="24"/>
      <c r="B103" s="24"/>
      <c r="C103" s="24"/>
      <c r="D103" s="24"/>
      <c r="E103" s="24"/>
      <c r="F103" s="24"/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</row>
    <row r="104" spans="1:26" ht="15.75" customHeight="1">
      <c r="A104" s="24"/>
      <c r="B104" s="24"/>
      <c r="C104" s="24"/>
      <c r="D104" s="24"/>
      <c r="E104" s="24"/>
      <c r="F104" s="24"/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</row>
    <row r="105" spans="1:26" ht="15.75" customHeight="1">
      <c r="A105" s="24"/>
      <c r="B105" s="24"/>
      <c r="C105" s="24"/>
      <c r="D105" s="24"/>
      <c r="E105" s="24"/>
      <c r="F105" s="24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</row>
    <row r="106" spans="1:26" ht="15.75" customHeight="1">
      <c r="A106" s="24"/>
      <c r="B106" s="24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</row>
    <row r="107" spans="1:26" ht="15.75" customHeight="1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</row>
    <row r="108" spans="1:26" ht="15.75" customHeight="1">
      <c r="A108" s="24"/>
      <c r="B108" s="24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</row>
    <row r="109" spans="1:26" ht="15.75" customHeight="1">
      <c r="A109" s="24"/>
      <c r="B109" s="24"/>
      <c r="C109" s="24"/>
      <c r="D109" s="24"/>
      <c r="E109" s="24"/>
      <c r="F109" s="24"/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</row>
    <row r="110" spans="1:26" ht="15.75" customHeight="1">
      <c r="A110" s="24"/>
      <c r="B110" s="24"/>
      <c r="C110" s="24"/>
      <c r="D110" s="24"/>
      <c r="E110" s="24"/>
      <c r="F110" s="24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</row>
    <row r="111" spans="1:26" ht="15.75" customHeight="1">
      <c r="A111" s="24"/>
      <c r="B111" s="24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</row>
    <row r="112" spans="1:26" ht="15.75" customHeight="1">
      <c r="A112" s="24"/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</row>
    <row r="113" spans="1:26" ht="15.75" customHeight="1">
      <c r="A113" s="24"/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</row>
    <row r="114" spans="1:26" ht="15.75" customHeight="1">
      <c r="A114" s="24"/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</row>
    <row r="115" spans="1:26" ht="15.75" customHeight="1">
      <c r="A115" s="24"/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</row>
    <row r="116" spans="1:26" ht="15.75" customHeight="1">
      <c r="A116" s="24"/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</row>
    <row r="117" spans="1:26" ht="15.75" customHeight="1">
      <c r="A117" s="24"/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</row>
    <row r="118" spans="1:26" ht="15.75" customHeight="1">
      <c r="A118" s="24"/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</row>
    <row r="119" spans="1:26" ht="15.75" customHeight="1">
      <c r="A119" s="24"/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</row>
    <row r="120" spans="1:26" ht="15.75" customHeight="1">
      <c r="A120" s="24"/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</row>
    <row r="121" spans="1:26" ht="15.75" customHeight="1">
      <c r="A121" s="24"/>
      <c r="B121" s="24"/>
      <c r="C121" s="24"/>
      <c r="D121" s="24"/>
      <c r="E121" s="24"/>
      <c r="F121" s="24"/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</row>
    <row r="122" spans="1:26" ht="15.75" customHeight="1">
      <c r="A122" s="24"/>
      <c r="B122" s="24"/>
      <c r="C122" s="24"/>
      <c r="D122" s="24"/>
      <c r="E122" s="24"/>
      <c r="F122" s="24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</row>
    <row r="123" spans="1:26" ht="15.75" customHeight="1">
      <c r="A123" s="24"/>
      <c r="B123" s="24"/>
      <c r="C123" s="24"/>
      <c r="D123" s="24"/>
      <c r="E123" s="24"/>
      <c r="F123" s="24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</row>
    <row r="124" spans="1:26" ht="15.75" customHeight="1">
      <c r="A124" s="24"/>
      <c r="B124" s="24"/>
      <c r="C124" s="24"/>
      <c r="D124" s="24"/>
      <c r="E124" s="24"/>
      <c r="F124" s="24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</row>
    <row r="125" spans="1:26" ht="15.75" customHeight="1">
      <c r="A125" s="24"/>
      <c r="B125" s="24"/>
      <c r="C125" s="24"/>
      <c r="D125" s="24"/>
      <c r="E125" s="24"/>
      <c r="F125" s="24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</row>
    <row r="126" spans="1:26" ht="15.75" customHeight="1">
      <c r="A126" s="24"/>
      <c r="B126" s="24"/>
      <c r="C126" s="24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</row>
    <row r="127" spans="1:26" ht="15.75" customHeight="1">
      <c r="A127" s="24"/>
      <c r="B127" s="24"/>
      <c r="C127" s="24"/>
      <c r="D127" s="24"/>
      <c r="E127" s="24"/>
      <c r="F127" s="24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</row>
    <row r="128" spans="1:26" ht="15.75" customHeight="1">
      <c r="A128" s="24"/>
      <c r="B128" s="24"/>
      <c r="C128" s="24"/>
      <c r="D128" s="24"/>
      <c r="E128" s="24"/>
      <c r="F128" s="24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</row>
    <row r="129" spans="1:26" ht="15.75" customHeight="1">
      <c r="A129" s="24"/>
      <c r="B129" s="24"/>
      <c r="C129" s="24"/>
      <c r="D129" s="24"/>
      <c r="E129" s="24"/>
      <c r="F129" s="24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</row>
    <row r="130" spans="1:26" ht="15.75" customHeight="1">
      <c r="A130" s="24"/>
      <c r="B130" s="24"/>
      <c r="C130" s="24"/>
      <c r="D130" s="24"/>
      <c r="E130" s="24"/>
      <c r="F130" s="24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</row>
    <row r="131" spans="1:26" ht="15.75" customHeight="1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</row>
    <row r="132" spans="1:26" ht="15.75" customHeight="1">
      <c r="A132" s="24"/>
      <c r="B132" s="24"/>
      <c r="C132" s="24"/>
      <c r="D132" s="24"/>
      <c r="E132" s="24"/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</row>
    <row r="133" spans="1:26" ht="15.75" customHeight="1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</row>
    <row r="134" spans="1:26" ht="15.75" customHeight="1">
      <c r="A134" s="24"/>
      <c r="B134" s="24"/>
      <c r="C134" s="24"/>
      <c r="D134" s="24"/>
      <c r="E134" s="24"/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</row>
    <row r="135" spans="1:26" ht="15.75" customHeight="1">
      <c r="A135" s="24"/>
      <c r="B135" s="24"/>
      <c r="C135" s="24"/>
      <c r="D135" s="24"/>
      <c r="E135" s="24"/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</row>
    <row r="136" spans="1:26" ht="15.75" customHeight="1">
      <c r="A136" s="24"/>
      <c r="B136" s="24"/>
      <c r="C136" s="24"/>
      <c r="D136" s="24"/>
      <c r="E136" s="24"/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</row>
    <row r="137" spans="1:26" ht="15.75" customHeight="1">
      <c r="A137" s="24"/>
      <c r="B137" s="24"/>
      <c r="C137" s="24"/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</row>
    <row r="138" spans="1:26" ht="15.75" customHeight="1">
      <c r="A138" s="24"/>
      <c r="B138" s="24"/>
      <c r="C138" s="24"/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</row>
    <row r="139" spans="1:26" ht="15.75" customHeight="1">
      <c r="A139" s="24"/>
      <c r="B139" s="24"/>
      <c r="C139" s="24"/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</row>
    <row r="140" spans="1:26" ht="15.75" customHeight="1">
      <c r="A140" s="24"/>
      <c r="B140" s="24"/>
      <c r="C140" s="24"/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</row>
    <row r="141" spans="1:26" ht="15.75" customHeight="1">
      <c r="A141" s="24"/>
      <c r="B141" s="24"/>
      <c r="C141" s="24"/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</row>
    <row r="142" spans="1:26" ht="15.75" customHeight="1">
      <c r="A142" s="24"/>
      <c r="B142" s="24"/>
      <c r="C142" s="24"/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</row>
    <row r="143" spans="1:26" ht="15.75" customHeight="1">
      <c r="A143" s="24"/>
      <c r="B143" s="24"/>
      <c r="C143" s="24"/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</row>
    <row r="144" spans="1:26" ht="15.75" customHeight="1">
      <c r="A144" s="24"/>
      <c r="B144" s="24"/>
      <c r="C144" s="24"/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</row>
    <row r="145" spans="1:26" ht="15.75" customHeight="1">
      <c r="A145" s="24"/>
      <c r="B145" s="24"/>
      <c r="C145" s="24"/>
      <c r="D145" s="24"/>
      <c r="E145" s="24"/>
      <c r="F145" s="24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</row>
    <row r="146" spans="1:26" ht="15.75" customHeight="1">
      <c r="A146" s="24"/>
      <c r="B146" s="24"/>
      <c r="C146" s="24"/>
      <c r="D146" s="24"/>
      <c r="E146" s="24"/>
      <c r="F146" s="24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</row>
    <row r="147" spans="1:26" ht="15.75" customHeight="1">
      <c r="A147" s="24"/>
      <c r="B147" s="24"/>
      <c r="C147" s="24"/>
      <c r="D147" s="24"/>
      <c r="E147" s="24"/>
      <c r="F147" s="24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</row>
    <row r="148" spans="1:26" ht="15.75" customHeight="1">
      <c r="A148" s="24"/>
      <c r="B148" s="24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</row>
    <row r="149" spans="1:26" ht="15.75" customHeight="1">
      <c r="A149" s="24"/>
      <c r="B149" s="24"/>
      <c r="C149" s="24"/>
      <c r="D149" s="24"/>
      <c r="E149" s="24"/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</row>
    <row r="150" spans="1:26" ht="15.75" customHeight="1">
      <c r="A150" s="24"/>
      <c r="B150" s="24"/>
      <c r="C150" s="24"/>
      <c r="D150" s="24"/>
      <c r="E150" s="24"/>
      <c r="F150" s="24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</row>
    <row r="151" spans="1:26" ht="15.75" customHeight="1">
      <c r="A151" s="24"/>
      <c r="B151" s="24"/>
      <c r="C151" s="24"/>
      <c r="D151" s="24"/>
      <c r="E151" s="24"/>
      <c r="F151" s="24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</row>
    <row r="152" spans="1:26" ht="15.75" customHeight="1">
      <c r="A152" s="24"/>
      <c r="B152" s="24"/>
      <c r="C152" s="24"/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</row>
    <row r="153" spans="1:26" ht="15.75" customHeight="1">
      <c r="A153" s="24"/>
      <c r="B153" s="24"/>
      <c r="C153" s="24"/>
      <c r="D153" s="24"/>
      <c r="E153" s="24"/>
      <c r="F153" s="24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</row>
    <row r="154" spans="1:26" ht="15.75" customHeight="1">
      <c r="A154" s="24"/>
      <c r="B154" s="24"/>
      <c r="C154" s="24"/>
      <c r="D154" s="24"/>
      <c r="E154" s="24"/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</row>
    <row r="155" spans="1:26" ht="15.75" customHeight="1">
      <c r="A155" s="24"/>
      <c r="B155" s="24"/>
      <c r="C155" s="24"/>
      <c r="D155" s="24"/>
      <c r="E155" s="24"/>
      <c r="F155" s="24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</row>
    <row r="156" spans="1:26" ht="15.75" customHeight="1">
      <c r="A156" s="24"/>
      <c r="B156" s="24"/>
      <c r="C156" s="24"/>
      <c r="D156" s="24"/>
      <c r="E156" s="24"/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</row>
    <row r="157" spans="1:26" ht="15.75" customHeight="1">
      <c r="A157" s="24"/>
      <c r="B157" s="24"/>
      <c r="C157" s="24"/>
      <c r="D157" s="24"/>
      <c r="E157" s="24"/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</row>
    <row r="158" spans="1:26" ht="15.75" customHeight="1">
      <c r="A158" s="24"/>
      <c r="B158" s="24"/>
      <c r="C158" s="24"/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</row>
    <row r="159" spans="1:26" ht="15.75" customHeight="1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</row>
    <row r="160" spans="1:26" ht="15.75" customHeight="1">
      <c r="A160" s="24"/>
      <c r="B160" s="24"/>
      <c r="C160" s="24"/>
      <c r="D160" s="24"/>
      <c r="E160" s="24"/>
      <c r="F160" s="24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</row>
    <row r="161" spans="1:26" ht="15.75" customHeight="1">
      <c r="A161" s="24"/>
      <c r="B161" s="24"/>
      <c r="C161" s="24"/>
      <c r="D161" s="24"/>
      <c r="E161" s="24"/>
      <c r="F161" s="24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</row>
    <row r="162" spans="1:26" ht="15.75" customHeight="1">
      <c r="A162" s="24"/>
      <c r="B162" s="24"/>
      <c r="C162" s="24"/>
      <c r="D162" s="24"/>
      <c r="E162" s="24"/>
      <c r="F162" s="24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</row>
    <row r="163" spans="1:26" ht="15.75" customHeight="1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</row>
    <row r="164" spans="1:26" ht="15.75" customHeight="1">
      <c r="A164" s="24"/>
      <c r="B164" s="24"/>
      <c r="C164" s="24"/>
      <c r="D164" s="24"/>
      <c r="E164" s="24"/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</row>
    <row r="165" spans="1:26" ht="15.75" customHeight="1">
      <c r="A165" s="24"/>
      <c r="B165" s="24"/>
      <c r="C165" s="24"/>
      <c r="D165" s="24"/>
      <c r="E165" s="24"/>
      <c r="F165" s="24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</row>
    <row r="166" spans="1:26" ht="15.75" customHeight="1">
      <c r="A166" s="24"/>
      <c r="B166" s="24"/>
      <c r="C166" s="24"/>
      <c r="D166" s="24"/>
      <c r="E166" s="24"/>
      <c r="F166" s="24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</row>
    <row r="167" spans="1:26" ht="15.75" customHeight="1">
      <c r="A167" s="24"/>
      <c r="B167" s="24"/>
      <c r="C167" s="24"/>
      <c r="D167" s="24"/>
      <c r="E167" s="24"/>
      <c r="F167" s="24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</row>
    <row r="168" spans="1:26" ht="15.75" customHeight="1">
      <c r="A168" s="24"/>
      <c r="B168" s="24"/>
      <c r="C168" s="24"/>
      <c r="D168" s="24"/>
      <c r="E168" s="24"/>
      <c r="F168" s="24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</row>
    <row r="169" spans="1:26" ht="15.75" customHeight="1">
      <c r="A169" s="24"/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</row>
    <row r="170" spans="1:26" ht="15.75" customHeight="1">
      <c r="A170" s="24"/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</row>
    <row r="171" spans="1:26" ht="15.75" customHeight="1">
      <c r="A171" s="24"/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</row>
    <row r="172" spans="1:26" ht="15.75" customHeight="1">
      <c r="A172" s="24"/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</row>
    <row r="173" spans="1:26" ht="15.75" customHeight="1">
      <c r="A173" s="24"/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</row>
    <row r="174" spans="1:26" ht="15.75" customHeight="1">
      <c r="A174" s="24"/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</row>
    <row r="175" spans="1:26" ht="15.75" customHeight="1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</row>
    <row r="176" spans="1:26" ht="15.75" customHeight="1">
      <c r="A176" s="24"/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</row>
    <row r="177" spans="1:26" ht="15.75" customHeight="1">
      <c r="A177" s="24"/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</row>
    <row r="178" spans="1:26" ht="15.75" customHeight="1">
      <c r="A178" s="24"/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</row>
    <row r="179" spans="1:26" ht="15.75" customHeight="1">
      <c r="A179" s="24"/>
      <c r="B179" s="24"/>
      <c r="C179" s="24"/>
      <c r="D179" s="24"/>
      <c r="E179" s="24"/>
      <c r="F179" s="24"/>
      <c r="G179" s="24"/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</row>
    <row r="180" spans="1:26" ht="15.75" customHeight="1">
      <c r="A180" s="24"/>
      <c r="B180" s="24"/>
      <c r="C180" s="24"/>
      <c r="D180" s="24"/>
      <c r="E180" s="24"/>
      <c r="F180" s="24"/>
      <c r="G180" s="24"/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</row>
    <row r="181" spans="1:26" ht="15.75" customHeight="1">
      <c r="A181" s="24"/>
      <c r="B181" s="24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</row>
    <row r="182" spans="1:26" ht="15.75" customHeight="1">
      <c r="A182" s="24"/>
      <c r="B182" s="24"/>
      <c r="C182" s="24"/>
      <c r="D182" s="24"/>
      <c r="E182" s="24"/>
      <c r="F182" s="24"/>
      <c r="G182" s="24"/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</row>
    <row r="183" spans="1:26" ht="15.75" customHeight="1">
      <c r="A183" s="24"/>
      <c r="B183" s="24"/>
      <c r="C183" s="24"/>
      <c r="D183" s="24"/>
      <c r="E183" s="24"/>
      <c r="F183" s="24"/>
      <c r="G183" s="24"/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</row>
    <row r="184" spans="1:26" ht="15.75" customHeight="1">
      <c r="A184" s="24"/>
      <c r="B184" s="24"/>
      <c r="C184" s="24"/>
      <c r="D184" s="24"/>
      <c r="E184" s="24"/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</row>
    <row r="185" spans="1:26" ht="15.75" customHeight="1">
      <c r="A185" s="24"/>
      <c r="B185" s="24"/>
      <c r="C185" s="24"/>
      <c r="D185" s="24"/>
      <c r="E185" s="24"/>
      <c r="F185" s="24"/>
      <c r="G185" s="24"/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</row>
    <row r="186" spans="1:26" ht="15.75" customHeight="1">
      <c r="A186" s="24"/>
      <c r="B186" s="24"/>
      <c r="C186" s="24"/>
      <c r="D186" s="24"/>
      <c r="E186" s="24"/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</row>
    <row r="187" spans="1:26" ht="15.75" customHeight="1">
      <c r="A187" s="24"/>
      <c r="B187" s="24"/>
      <c r="C187" s="24"/>
      <c r="D187" s="24"/>
      <c r="E187" s="24"/>
      <c r="F187" s="24"/>
      <c r="G187" s="24"/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</row>
    <row r="188" spans="1:26" ht="15.75" customHeight="1">
      <c r="A188" s="24"/>
      <c r="B188" s="24"/>
      <c r="C188" s="24"/>
      <c r="D188" s="24"/>
      <c r="E188" s="24"/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</row>
    <row r="189" spans="1:26" ht="15.75" customHeight="1">
      <c r="A189" s="24"/>
      <c r="B189" s="24"/>
      <c r="C189" s="24"/>
      <c r="D189" s="24"/>
      <c r="E189" s="24"/>
      <c r="F189" s="24"/>
      <c r="G189" s="24"/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</row>
    <row r="190" spans="1:26" ht="15.75" customHeight="1">
      <c r="A190" s="24"/>
      <c r="B190" s="24"/>
      <c r="C190" s="24"/>
      <c r="D190" s="24"/>
      <c r="E190" s="24"/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</row>
    <row r="191" spans="1:26" ht="15.75" customHeight="1">
      <c r="A191" s="24"/>
      <c r="B191" s="24"/>
      <c r="C191" s="24"/>
      <c r="D191" s="24"/>
      <c r="E191" s="24"/>
      <c r="F191" s="24"/>
      <c r="G191" s="24"/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</row>
    <row r="192" spans="1:26" ht="15.75" customHeight="1">
      <c r="A192" s="24"/>
      <c r="B192" s="24"/>
      <c r="C192" s="24"/>
      <c r="D192" s="24"/>
      <c r="E192" s="24"/>
      <c r="F192" s="24"/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</row>
    <row r="193" spans="1:26" ht="15.75" customHeight="1">
      <c r="A193" s="24"/>
      <c r="B193" s="24"/>
      <c r="C193" s="24"/>
      <c r="D193" s="24"/>
      <c r="E193" s="24"/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</row>
    <row r="194" spans="1:26" ht="15.75" customHeight="1">
      <c r="A194" s="24"/>
      <c r="B194" s="24"/>
      <c r="C194" s="24"/>
      <c r="D194" s="24"/>
      <c r="E194" s="24"/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</row>
    <row r="195" spans="1:26" ht="15.75" customHeight="1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</row>
    <row r="196" spans="1:26" ht="15.75" customHeight="1">
      <c r="A196" s="24"/>
      <c r="B196" s="24"/>
      <c r="C196" s="24"/>
      <c r="D196" s="24"/>
      <c r="E196" s="24"/>
      <c r="F196" s="24"/>
      <c r="G196" s="24"/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</row>
    <row r="197" spans="1:26" ht="15.75" customHeight="1">
      <c r="A197" s="24"/>
      <c r="B197" s="24"/>
      <c r="C197" s="24"/>
      <c r="D197" s="24"/>
      <c r="E197" s="24"/>
      <c r="F197" s="24"/>
      <c r="G197" s="24"/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</row>
    <row r="198" spans="1:26" ht="15.75" customHeight="1">
      <c r="A198" s="24"/>
      <c r="B198" s="24"/>
      <c r="C198" s="24"/>
      <c r="D198" s="24"/>
      <c r="E198" s="24"/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</row>
    <row r="199" spans="1:26" ht="15.75" customHeight="1">
      <c r="A199" s="24"/>
      <c r="B199" s="24"/>
      <c r="C199" s="24"/>
      <c r="D199" s="24"/>
      <c r="E199" s="24"/>
      <c r="F199" s="24"/>
      <c r="G199" s="24"/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</row>
    <row r="200" spans="1:26" ht="15.75" customHeight="1">
      <c r="A200" s="24"/>
      <c r="B200" s="24"/>
      <c r="C200" s="24"/>
      <c r="D200" s="24"/>
      <c r="E200" s="24"/>
      <c r="F200" s="24"/>
      <c r="G200" s="24"/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</row>
    <row r="201" spans="1:26" ht="15.75" customHeight="1">
      <c r="A201" s="24"/>
      <c r="B201" s="24"/>
      <c r="C201" s="24"/>
      <c r="D201" s="24"/>
      <c r="E201" s="24"/>
      <c r="F201" s="24"/>
      <c r="G201" s="24"/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</row>
    <row r="202" spans="1:26" ht="15.75" customHeight="1">
      <c r="A202" s="24"/>
      <c r="B202" s="24"/>
      <c r="C202" s="24"/>
      <c r="D202" s="24"/>
      <c r="E202" s="24"/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</row>
    <row r="203" spans="1:26" ht="15.75" customHeight="1">
      <c r="A203" s="24"/>
      <c r="B203" s="24"/>
      <c r="C203" s="24"/>
      <c r="D203" s="24"/>
      <c r="E203" s="24"/>
      <c r="F203" s="24"/>
      <c r="G203" s="24"/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</row>
    <row r="204" spans="1:26" ht="15.75" customHeight="1">
      <c r="A204" s="24"/>
      <c r="B204" s="24"/>
      <c r="C204" s="24"/>
      <c r="D204" s="24"/>
      <c r="E204" s="24"/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</row>
    <row r="205" spans="1:26" ht="15.75" customHeight="1">
      <c r="A205" s="24"/>
      <c r="B205" s="24"/>
      <c r="C205" s="24"/>
      <c r="D205" s="24"/>
      <c r="E205" s="24"/>
      <c r="F205" s="24"/>
      <c r="G205" s="24"/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</row>
    <row r="206" spans="1:26" ht="15.75" customHeight="1">
      <c r="A206" s="24"/>
      <c r="B206" s="24"/>
      <c r="C206" s="24"/>
      <c r="D206" s="24"/>
      <c r="E206" s="24"/>
      <c r="F206" s="24"/>
      <c r="G206" s="24"/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</row>
    <row r="207" spans="1:26" ht="15.75" customHeight="1">
      <c r="A207" s="24"/>
      <c r="B207" s="24"/>
      <c r="C207" s="24"/>
      <c r="D207" s="24"/>
      <c r="E207" s="24"/>
      <c r="F207" s="24"/>
      <c r="G207" s="24"/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</row>
    <row r="208" spans="1:26" ht="15.75" customHeight="1">
      <c r="A208" s="24"/>
      <c r="B208" s="24"/>
      <c r="C208" s="24"/>
      <c r="D208" s="24"/>
      <c r="E208" s="24"/>
      <c r="F208" s="24"/>
      <c r="G208" s="24"/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</row>
    <row r="209" spans="1:26" ht="15.75" customHeight="1">
      <c r="A209" s="24"/>
      <c r="B209" s="24"/>
      <c r="C209" s="24"/>
      <c r="D209" s="24"/>
      <c r="E209" s="24"/>
      <c r="F209" s="24"/>
      <c r="G209" s="24"/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</row>
    <row r="210" spans="1:26" ht="15.75" customHeight="1">
      <c r="A210" s="24"/>
      <c r="B210" s="24"/>
      <c r="C210" s="24"/>
      <c r="D210" s="24"/>
      <c r="E210" s="24"/>
      <c r="F210" s="24"/>
      <c r="G210" s="24"/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</row>
    <row r="211" spans="1:26" ht="15.75" customHeight="1">
      <c r="A211" s="24"/>
      <c r="B211" s="24"/>
      <c r="C211" s="24"/>
      <c r="D211" s="24"/>
      <c r="E211" s="24"/>
      <c r="F211" s="24"/>
      <c r="G211" s="24"/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</row>
    <row r="212" spans="1:26" ht="15.75" customHeight="1">
      <c r="A212" s="24"/>
      <c r="B212" s="24"/>
      <c r="C212" s="24"/>
      <c r="D212" s="24"/>
      <c r="E212" s="24"/>
      <c r="F212" s="24"/>
      <c r="G212" s="24"/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</row>
    <row r="213" spans="1:26" ht="15.75" customHeight="1">
      <c r="A213" s="24"/>
      <c r="B213" s="24"/>
      <c r="C213" s="24"/>
      <c r="D213" s="24"/>
      <c r="E213" s="24"/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</row>
    <row r="214" spans="1:26" ht="15.75" customHeight="1">
      <c r="A214" s="24"/>
      <c r="B214" s="24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</row>
    <row r="215" spans="1:26" ht="15.75" customHeight="1">
      <c r="A215" s="24"/>
      <c r="B215" s="24"/>
      <c r="C215" s="24"/>
      <c r="D215" s="24"/>
      <c r="E215" s="24"/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</row>
    <row r="216" spans="1:26" ht="15.75" customHeight="1">
      <c r="A216" s="24"/>
      <c r="B216" s="24"/>
      <c r="C216" s="24"/>
      <c r="D216" s="24"/>
      <c r="E216" s="24"/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</row>
    <row r="217" spans="1:26" ht="15.75" customHeight="1">
      <c r="A217" s="24"/>
      <c r="B217" s="24"/>
      <c r="C217" s="24"/>
      <c r="D217" s="24"/>
      <c r="E217" s="24"/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</row>
    <row r="218" spans="1:26" ht="15.75" customHeight="1">
      <c r="A218" s="24"/>
      <c r="B218" s="24"/>
      <c r="C218" s="24"/>
      <c r="D218" s="24"/>
      <c r="E218" s="24"/>
      <c r="F218" s="24"/>
      <c r="G218" s="24"/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</row>
    <row r="219" spans="1:26" ht="15.75" customHeight="1">
      <c r="A219" s="24"/>
      <c r="B219" s="24"/>
      <c r="C219" s="24"/>
      <c r="D219" s="24"/>
      <c r="E219" s="24"/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</row>
    <row r="220" spans="1:26" ht="15.75" customHeight="1">
      <c r="A220" s="24"/>
      <c r="B220" s="24"/>
      <c r="C220" s="24"/>
      <c r="D220" s="24"/>
      <c r="E220" s="24"/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</row>
    <row r="221" spans="1:26" ht="15.75" customHeight="1">
      <c r="A221" s="24"/>
      <c r="B221" s="24"/>
      <c r="C221" s="24"/>
      <c r="D221" s="24"/>
      <c r="E221" s="24"/>
      <c r="F221" s="24"/>
      <c r="G221" s="24"/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</row>
    <row r="222" spans="1:26" ht="15.75" customHeight="1">
      <c r="A222" s="24"/>
      <c r="B222" s="24"/>
      <c r="C222" s="24"/>
      <c r="D222" s="24"/>
      <c r="E222" s="24"/>
      <c r="F222" s="24"/>
      <c r="G222" s="24"/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</row>
    <row r="223" spans="1:26" ht="15.75" customHeight="1">
      <c r="A223" s="24"/>
      <c r="B223" s="24"/>
      <c r="C223" s="24"/>
      <c r="D223" s="24"/>
      <c r="E223" s="24"/>
      <c r="F223" s="24"/>
      <c r="G223" s="24"/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</row>
    <row r="224" spans="1:26" ht="15.75" customHeight="1">
      <c r="A224" s="24"/>
      <c r="B224" s="24"/>
      <c r="C224" s="24"/>
      <c r="D224" s="24"/>
      <c r="E224" s="24"/>
      <c r="F224" s="24"/>
      <c r="G224" s="24"/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</row>
    <row r="225" spans="1:26" ht="15.75" customHeight="1">
      <c r="A225" s="24"/>
      <c r="B225" s="24"/>
      <c r="C225" s="24"/>
      <c r="D225" s="24"/>
      <c r="E225" s="24"/>
      <c r="F225" s="24"/>
      <c r="G225" s="24"/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</row>
    <row r="226" spans="1:26" ht="15.75" customHeight="1">
      <c r="A226" s="24"/>
      <c r="B226" s="24"/>
      <c r="C226" s="24"/>
      <c r="D226" s="24"/>
      <c r="E226" s="24"/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</row>
    <row r="227" spans="1:26" ht="15.75" customHeight="1">
      <c r="A227" s="24"/>
      <c r="B227" s="24"/>
      <c r="C227" s="24"/>
      <c r="D227" s="24"/>
      <c r="E227" s="24"/>
      <c r="F227" s="24"/>
      <c r="G227" s="24"/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</row>
    <row r="228" spans="1:26" ht="15.75" customHeight="1">
      <c r="A228" s="24"/>
      <c r="B228" s="24"/>
      <c r="C228" s="24"/>
      <c r="D228" s="24"/>
      <c r="E228" s="24"/>
      <c r="F228" s="24"/>
      <c r="G228" s="24"/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</row>
    <row r="229" spans="1:26" ht="15.75" customHeight="1">
      <c r="A229" s="24"/>
      <c r="B229" s="24"/>
      <c r="C229" s="24"/>
      <c r="D229" s="24"/>
      <c r="E229" s="24"/>
      <c r="F229" s="24"/>
      <c r="G229" s="24"/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</row>
    <row r="230" spans="1:26" ht="15.75" customHeight="1">
      <c r="A230" s="24"/>
      <c r="B230" s="24"/>
      <c r="C230" s="24"/>
      <c r="D230" s="24"/>
      <c r="E230" s="24"/>
      <c r="F230" s="24"/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</row>
    <row r="231" spans="1:26" ht="15.75" customHeight="1">
      <c r="A231" s="24"/>
      <c r="B231" s="24"/>
      <c r="C231" s="24"/>
      <c r="D231" s="24"/>
      <c r="E231" s="24"/>
      <c r="F231" s="24"/>
      <c r="G231" s="24"/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</row>
    <row r="232" spans="1:26" ht="15.75" customHeight="1">
      <c r="A232" s="24"/>
      <c r="B232" s="24"/>
      <c r="C232" s="24"/>
      <c r="D232" s="24"/>
      <c r="E232" s="24"/>
      <c r="F232" s="24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</row>
    <row r="233" spans="1:26" ht="15.75" customHeight="1">
      <c r="A233" s="24"/>
      <c r="B233" s="24"/>
      <c r="C233" s="24"/>
      <c r="D233" s="24"/>
      <c r="E233" s="24"/>
      <c r="F233" s="24"/>
      <c r="G233" s="24"/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</row>
    <row r="234" spans="1:26" ht="15.75" customHeight="1">
      <c r="A234" s="24"/>
      <c r="B234" s="24"/>
      <c r="C234" s="24"/>
      <c r="D234" s="24"/>
      <c r="E234" s="24"/>
      <c r="F234" s="24"/>
      <c r="G234" s="24"/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</row>
    <row r="235" spans="1:26" ht="15.75" customHeight="1">
      <c r="A235" s="24"/>
      <c r="B235" s="24"/>
      <c r="C235" s="24"/>
      <c r="D235" s="24"/>
      <c r="E235" s="24"/>
      <c r="F235" s="24"/>
      <c r="G235" s="24"/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</row>
    <row r="236" spans="1:26" ht="15.75" customHeight="1">
      <c r="A236" s="24"/>
      <c r="B236" s="24"/>
      <c r="C236" s="24"/>
      <c r="D236" s="24"/>
      <c r="E236" s="24"/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</row>
    <row r="237" spans="1:26" ht="15.75" customHeight="1">
      <c r="A237" s="24"/>
      <c r="B237" s="24"/>
      <c r="C237" s="24"/>
      <c r="D237" s="24"/>
      <c r="E237" s="24"/>
      <c r="F237" s="24"/>
      <c r="G237" s="24"/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</row>
    <row r="238" spans="1:26" ht="15.75" customHeight="1">
      <c r="A238" s="24"/>
      <c r="B238" s="24"/>
      <c r="C238" s="24"/>
      <c r="D238" s="24"/>
      <c r="E238" s="24"/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</row>
    <row r="239" spans="1:26" ht="15.75" customHeight="1">
      <c r="A239" s="24"/>
      <c r="B239" s="24"/>
      <c r="C239" s="24"/>
      <c r="D239" s="24"/>
      <c r="E239" s="24"/>
      <c r="F239" s="24"/>
      <c r="G239" s="24"/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</row>
    <row r="240" spans="1:26" ht="15.75" customHeight="1">
      <c r="A240" s="24"/>
      <c r="B240" s="24"/>
      <c r="C240" s="24"/>
      <c r="D240" s="24"/>
      <c r="E240" s="24"/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</row>
    <row r="241" spans="1:26" ht="15.75" customHeight="1">
      <c r="A241" s="24"/>
      <c r="B241" s="24"/>
      <c r="C241" s="24"/>
      <c r="D241" s="24"/>
      <c r="E241" s="24"/>
      <c r="F241" s="24"/>
      <c r="G241" s="24"/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</row>
    <row r="242" spans="1:26" ht="15.75" customHeight="1">
      <c r="A242" s="24"/>
      <c r="B242" s="24"/>
      <c r="C242" s="24"/>
      <c r="D242" s="24"/>
      <c r="E242" s="24"/>
      <c r="F242" s="24"/>
      <c r="G242" s="24"/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</row>
    <row r="243" spans="1:26" ht="15.75" customHeight="1">
      <c r="A243" s="24"/>
      <c r="B243" s="24"/>
      <c r="C243" s="24"/>
      <c r="D243" s="24"/>
      <c r="E243" s="24"/>
      <c r="F243" s="24"/>
      <c r="G243" s="24"/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</row>
    <row r="244" spans="1:26" ht="15.75" customHeight="1">
      <c r="A244" s="24"/>
      <c r="B244" s="24"/>
      <c r="C244" s="24"/>
      <c r="D244" s="24"/>
      <c r="E244" s="24"/>
      <c r="F244" s="24"/>
      <c r="G244" s="24"/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</row>
    <row r="245" spans="1:26" ht="15.75" customHeight="1">
      <c r="A245" s="24"/>
      <c r="B245" s="24"/>
      <c r="C245" s="24"/>
      <c r="D245" s="24"/>
      <c r="E245" s="24"/>
      <c r="F245" s="24"/>
      <c r="G245" s="24"/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</row>
    <row r="246" spans="1:26" ht="15.75" customHeight="1">
      <c r="A246" s="24"/>
      <c r="B246" s="24"/>
      <c r="C246" s="24"/>
      <c r="D246" s="24"/>
      <c r="E246" s="24"/>
      <c r="F246" s="24"/>
      <c r="G246" s="24"/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</row>
    <row r="247" spans="1:26" ht="15.75" customHeight="1">
      <c r="A247" s="24"/>
      <c r="B247" s="24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</row>
    <row r="248" spans="1:26" ht="15.75" customHeight="1">
      <c r="A248" s="24"/>
      <c r="B248" s="24"/>
      <c r="C248" s="24"/>
      <c r="D248" s="24"/>
      <c r="E248" s="24"/>
      <c r="F248" s="24"/>
      <c r="G248" s="24"/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</row>
    <row r="249" spans="1:26" ht="15.75" customHeight="1">
      <c r="A249" s="24"/>
      <c r="B249" s="24"/>
      <c r="C249" s="24"/>
      <c r="D249" s="24"/>
      <c r="E249" s="24"/>
      <c r="F249" s="24"/>
      <c r="G249" s="24"/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</row>
    <row r="250" spans="1:26" ht="15.75" customHeight="1">
      <c r="A250" s="24"/>
      <c r="B250" s="24"/>
      <c r="C250" s="24"/>
      <c r="D250" s="24"/>
      <c r="E250" s="24"/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</row>
    <row r="251" spans="1:26" ht="15.75" customHeight="1">
      <c r="A251" s="24"/>
      <c r="B251" s="24"/>
      <c r="C251" s="24"/>
      <c r="D251" s="24"/>
      <c r="E251" s="24"/>
      <c r="F251" s="24"/>
      <c r="G251" s="24"/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</row>
    <row r="252" spans="1:26" ht="15.75" customHeight="1">
      <c r="A252" s="24"/>
      <c r="B252" s="24"/>
      <c r="C252" s="24"/>
      <c r="D252" s="24"/>
      <c r="E252" s="24"/>
      <c r="F252" s="24"/>
      <c r="G252" s="24"/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</row>
    <row r="253" spans="1:26" ht="15.75" customHeight="1">
      <c r="A253" s="24"/>
      <c r="B253" s="24"/>
      <c r="C253" s="24"/>
      <c r="D253" s="24"/>
      <c r="E253" s="24"/>
      <c r="F253" s="24"/>
      <c r="G253" s="24"/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</row>
    <row r="254" spans="1:26" ht="15.75" customHeight="1">
      <c r="A254" s="24"/>
      <c r="B254" s="24"/>
      <c r="C254" s="24"/>
      <c r="D254" s="24"/>
      <c r="E254" s="24"/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</row>
    <row r="255" spans="1:26" ht="15.75" customHeight="1">
      <c r="A255" s="24"/>
      <c r="B255" s="24"/>
      <c r="C255" s="24"/>
      <c r="D255" s="24"/>
      <c r="E255" s="24"/>
      <c r="F255" s="24"/>
      <c r="G255" s="24"/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</row>
    <row r="256" spans="1:26" ht="15.75" customHeight="1">
      <c r="A256" s="24"/>
      <c r="B256" s="24"/>
      <c r="C256" s="24"/>
      <c r="D256" s="24"/>
      <c r="E256" s="24"/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</row>
    <row r="257" spans="1:26" ht="15.75" customHeight="1">
      <c r="A257" s="24"/>
      <c r="B257" s="24"/>
      <c r="C257" s="24"/>
      <c r="D257" s="24"/>
      <c r="E257" s="24"/>
      <c r="F257" s="24"/>
      <c r="G257" s="24"/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</row>
    <row r="258" spans="1:26" ht="15.75" customHeight="1">
      <c r="A258" s="24"/>
      <c r="B258" s="24"/>
      <c r="C258" s="24"/>
      <c r="D258" s="24"/>
      <c r="E258" s="24"/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</row>
    <row r="259" spans="1:26" ht="15.75" customHeight="1">
      <c r="A259" s="24"/>
      <c r="B259" s="24"/>
      <c r="C259" s="24"/>
      <c r="D259" s="24"/>
      <c r="E259" s="24"/>
      <c r="F259" s="24"/>
      <c r="G259" s="24"/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</row>
    <row r="260" spans="1:26" ht="15.75" customHeight="1">
      <c r="A260" s="24"/>
      <c r="B260" s="24"/>
      <c r="C260" s="24"/>
      <c r="D260" s="24"/>
      <c r="E260" s="24"/>
      <c r="F260" s="24"/>
      <c r="G260" s="24"/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</row>
    <row r="261" spans="1:26" ht="15.75" customHeight="1">
      <c r="A261" s="24"/>
      <c r="B261" s="24"/>
      <c r="C261" s="24"/>
      <c r="D261" s="24"/>
      <c r="E261" s="24"/>
      <c r="F261" s="24"/>
      <c r="G261" s="24"/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</row>
    <row r="262" spans="1:26" ht="15.75" customHeight="1">
      <c r="A262" s="24"/>
      <c r="B262" s="24"/>
      <c r="C262" s="24"/>
      <c r="D262" s="24"/>
      <c r="E262" s="24"/>
      <c r="F262" s="24"/>
      <c r="G262" s="24"/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</row>
    <row r="263" spans="1:26" ht="15.75" customHeight="1">
      <c r="A263" s="24"/>
      <c r="B263" s="24"/>
      <c r="C263" s="24"/>
      <c r="D263" s="24"/>
      <c r="E263" s="24"/>
      <c r="F263" s="24"/>
      <c r="G263" s="24"/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</row>
    <row r="264" spans="1:26" ht="15.75" customHeight="1">
      <c r="A264" s="24"/>
      <c r="B264" s="24"/>
      <c r="C264" s="24"/>
      <c r="D264" s="24"/>
      <c r="E264" s="24"/>
      <c r="F264" s="24"/>
      <c r="G264" s="24"/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</row>
    <row r="265" spans="1:26" ht="15.75" customHeight="1">
      <c r="A265" s="24"/>
      <c r="B265" s="24"/>
      <c r="C265" s="24"/>
      <c r="D265" s="24"/>
      <c r="E265" s="24"/>
      <c r="F265" s="24"/>
      <c r="G265" s="24"/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</row>
    <row r="266" spans="1:26" ht="15.75" customHeight="1">
      <c r="A266" s="24"/>
      <c r="B266" s="24"/>
      <c r="C266" s="24"/>
      <c r="D266" s="24"/>
      <c r="E266" s="24"/>
      <c r="F266" s="24"/>
      <c r="G266" s="24"/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</row>
    <row r="267" spans="1:26" ht="15.75" customHeight="1">
      <c r="A267" s="24"/>
      <c r="B267" s="24"/>
      <c r="C267" s="24"/>
      <c r="D267" s="24"/>
      <c r="E267" s="24"/>
      <c r="F267" s="24"/>
      <c r="G267" s="24"/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</row>
    <row r="268" spans="1:26" ht="15.75" customHeight="1">
      <c r="A268" s="24"/>
      <c r="B268" s="24"/>
      <c r="C268" s="24"/>
      <c r="D268" s="24"/>
      <c r="E268" s="24"/>
      <c r="F268" s="24"/>
      <c r="G268" s="24"/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</row>
    <row r="269" spans="1:26" ht="15.75" customHeight="1">
      <c r="A269" s="24"/>
      <c r="B269" s="24"/>
      <c r="C269" s="24"/>
      <c r="D269" s="24"/>
      <c r="E269" s="24"/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</row>
    <row r="270" spans="1:26" ht="15.75" customHeight="1">
      <c r="A270" s="24"/>
      <c r="B270" s="24"/>
      <c r="C270" s="24"/>
      <c r="D270" s="24"/>
      <c r="E270" s="24"/>
      <c r="F270" s="24"/>
      <c r="G270" s="24"/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</row>
    <row r="271" spans="1:26" ht="15.75" customHeight="1">
      <c r="A271" s="24"/>
      <c r="B271" s="24"/>
      <c r="C271" s="24"/>
      <c r="D271" s="24"/>
      <c r="E271" s="24"/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</row>
    <row r="272" spans="1:26" ht="15.75" customHeight="1">
      <c r="A272" s="24"/>
      <c r="B272" s="24"/>
      <c r="C272" s="24"/>
      <c r="D272" s="24"/>
      <c r="E272" s="24"/>
      <c r="F272" s="24"/>
      <c r="G272" s="24"/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</row>
    <row r="273" spans="1:26" ht="15.75" customHeight="1">
      <c r="A273" s="24"/>
      <c r="B273" s="24"/>
      <c r="C273" s="24"/>
      <c r="D273" s="24"/>
      <c r="E273" s="24"/>
      <c r="F273" s="24"/>
      <c r="G273" s="24"/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</row>
    <row r="274" spans="1:26" ht="15.75" customHeight="1">
      <c r="A274" s="24"/>
      <c r="B274" s="24"/>
      <c r="C274" s="24"/>
      <c r="D274" s="24"/>
      <c r="E274" s="24"/>
      <c r="F274" s="24"/>
      <c r="G274" s="24"/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</row>
    <row r="275" spans="1:26" ht="15.75" customHeight="1">
      <c r="A275" s="24"/>
      <c r="B275" s="24"/>
      <c r="C275" s="24"/>
      <c r="D275" s="24"/>
      <c r="E275" s="24"/>
      <c r="F275" s="24"/>
      <c r="G275" s="24"/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</row>
    <row r="276" spans="1:26" ht="15.75" customHeight="1">
      <c r="A276" s="24"/>
      <c r="B276" s="24"/>
      <c r="C276" s="24"/>
      <c r="D276" s="24"/>
      <c r="E276" s="24"/>
      <c r="F276" s="24"/>
      <c r="G276" s="24"/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</row>
    <row r="277" spans="1:26" ht="15.75" customHeight="1">
      <c r="A277" s="24"/>
      <c r="B277" s="24"/>
      <c r="C277" s="24"/>
      <c r="D277" s="24"/>
      <c r="E277" s="24"/>
      <c r="F277" s="24"/>
      <c r="G277" s="24"/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</row>
    <row r="278" spans="1:26" ht="15.75" customHeight="1">
      <c r="A278" s="24"/>
      <c r="B278" s="24"/>
      <c r="C278" s="24"/>
      <c r="D278" s="24"/>
      <c r="E278" s="24"/>
      <c r="F278" s="24"/>
      <c r="G278" s="24"/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</row>
    <row r="279" spans="1:26" ht="15.75" customHeight="1">
      <c r="A279" s="24"/>
      <c r="B279" s="24"/>
      <c r="C279" s="24"/>
      <c r="D279" s="24"/>
      <c r="E279" s="24"/>
      <c r="F279" s="24"/>
      <c r="G279" s="24"/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</row>
    <row r="280" spans="1:26" ht="15.75" customHeight="1">
      <c r="A280" s="24"/>
      <c r="B280" s="24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</row>
    <row r="281" spans="1:26" ht="15.75" customHeight="1">
      <c r="A281" s="24"/>
      <c r="B281" s="24"/>
      <c r="C281" s="24"/>
      <c r="D281" s="24"/>
      <c r="E281" s="24"/>
      <c r="F281" s="24"/>
      <c r="G281" s="24"/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</row>
    <row r="282" spans="1:26" ht="15.75" customHeight="1">
      <c r="A282" s="24"/>
      <c r="B282" s="24"/>
      <c r="C282" s="24"/>
      <c r="D282" s="24"/>
      <c r="E282" s="24"/>
      <c r="F282" s="24"/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</row>
    <row r="283" spans="1:26" ht="15.75" customHeight="1">
      <c r="A283" s="24"/>
      <c r="B283" s="24"/>
      <c r="C283" s="24"/>
      <c r="D283" s="24"/>
      <c r="E283" s="24"/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</row>
    <row r="284" spans="1:26" ht="15.75" customHeight="1">
      <c r="A284" s="24"/>
      <c r="B284" s="24"/>
      <c r="C284" s="24"/>
      <c r="D284" s="24"/>
      <c r="E284" s="24"/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</row>
    <row r="285" spans="1:26" ht="15.75" customHeight="1">
      <c r="A285" s="24"/>
      <c r="B285" s="24"/>
      <c r="C285" s="24"/>
      <c r="D285" s="24"/>
      <c r="E285" s="24"/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</row>
    <row r="286" spans="1:26" ht="15.75" customHeight="1">
      <c r="A286" s="24"/>
      <c r="B286" s="24"/>
      <c r="C286" s="24"/>
      <c r="D286" s="24"/>
      <c r="E286" s="24"/>
      <c r="F286" s="24"/>
      <c r="G286" s="24"/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</row>
    <row r="287" spans="1:26" ht="15.75" customHeight="1">
      <c r="A287" s="24"/>
      <c r="B287" s="24"/>
      <c r="C287" s="24"/>
      <c r="D287" s="24"/>
      <c r="E287" s="24"/>
      <c r="F287" s="24"/>
      <c r="G287" s="24"/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</row>
    <row r="288" spans="1:26" ht="15.75" customHeight="1">
      <c r="A288" s="24"/>
      <c r="B288" s="24"/>
      <c r="C288" s="24"/>
      <c r="D288" s="24"/>
      <c r="E288" s="24"/>
      <c r="F288" s="24"/>
      <c r="G288" s="24"/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</row>
    <row r="289" spans="1:26" ht="15.75" customHeight="1">
      <c r="A289" s="24"/>
      <c r="B289" s="24"/>
      <c r="C289" s="24"/>
      <c r="D289" s="24"/>
      <c r="E289" s="24"/>
      <c r="F289" s="24"/>
      <c r="G289" s="24"/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</row>
    <row r="290" spans="1:26" ht="15.75" customHeight="1">
      <c r="A290" s="24"/>
      <c r="B290" s="24"/>
      <c r="C290" s="24"/>
      <c r="D290" s="24"/>
      <c r="E290" s="24"/>
      <c r="F290" s="24"/>
      <c r="G290" s="24"/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</row>
    <row r="291" spans="1:26" ht="15.75" customHeight="1">
      <c r="A291" s="24"/>
      <c r="B291" s="24"/>
      <c r="C291" s="24"/>
      <c r="D291" s="24"/>
      <c r="E291" s="24"/>
      <c r="F291" s="24"/>
      <c r="G291" s="24"/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</row>
    <row r="292" spans="1:26" ht="15.75" customHeight="1">
      <c r="A292" s="24"/>
      <c r="B292" s="24"/>
      <c r="C292" s="24"/>
      <c r="D292" s="24"/>
      <c r="E292" s="24"/>
      <c r="F292" s="24"/>
      <c r="G292" s="24"/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</row>
    <row r="293" spans="1:26" ht="15.75" customHeight="1">
      <c r="A293" s="24"/>
      <c r="B293" s="24"/>
      <c r="C293" s="24"/>
      <c r="D293" s="24"/>
      <c r="E293" s="24"/>
      <c r="F293" s="24"/>
      <c r="G293" s="24"/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</row>
    <row r="294" spans="1:26" ht="15.75" customHeight="1">
      <c r="A294" s="24"/>
      <c r="B294" s="24"/>
      <c r="C294" s="24"/>
      <c r="D294" s="24"/>
      <c r="E294" s="24"/>
      <c r="F294" s="24"/>
      <c r="G294" s="24"/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</row>
    <row r="295" spans="1:26" ht="15.75" customHeight="1">
      <c r="A295" s="24"/>
      <c r="B295" s="24"/>
      <c r="C295" s="24"/>
      <c r="D295" s="24"/>
      <c r="E295" s="24"/>
      <c r="F295" s="24"/>
      <c r="G295" s="24"/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</row>
    <row r="296" spans="1:26" ht="15.75" customHeight="1">
      <c r="A296" s="24"/>
      <c r="B296" s="24"/>
      <c r="C296" s="24"/>
      <c r="D296" s="24"/>
      <c r="E296" s="24"/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</row>
    <row r="297" spans="1:26" ht="15.75" customHeight="1">
      <c r="A297" s="24"/>
      <c r="B297" s="24"/>
      <c r="C297" s="24"/>
      <c r="D297" s="24"/>
      <c r="E297" s="24"/>
      <c r="F297" s="24"/>
      <c r="G297" s="24"/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</row>
    <row r="298" spans="1:26" ht="15.75" customHeight="1">
      <c r="A298" s="24"/>
      <c r="B298" s="24"/>
      <c r="C298" s="24"/>
      <c r="D298" s="24"/>
      <c r="E298" s="24"/>
      <c r="F298" s="24"/>
      <c r="G298" s="24"/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</row>
    <row r="299" spans="1:26" ht="15.75" customHeight="1">
      <c r="A299" s="24"/>
      <c r="B299" s="24"/>
      <c r="C299" s="24"/>
      <c r="D299" s="24"/>
      <c r="E299" s="24"/>
      <c r="F299" s="24"/>
      <c r="G299" s="24"/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</row>
    <row r="300" spans="1:26" ht="15.75" customHeight="1">
      <c r="A300" s="24"/>
      <c r="B300" s="24"/>
      <c r="C300" s="24"/>
      <c r="D300" s="24"/>
      <c r="E300" s="24"/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</row>
    <row r="301" spans="1:26" ht="15.75" customHeight="1">
      <c r="A301" s="24"/>
      <c r="B301" s="24"/>
      <c r="C301" s="24"/>
      <c r="D301" s="24"/>
      <c r="E301" s="24"/>
      <c r="F301" s="24"/>
      <c r="G301" s="24"/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</row>
    <row r="302" spans="1:26" ht="15.75" customHeight="1">
      <c r="A302" s="24"/>
      <c r="B302" s="24"/>
      <c r="C302" s="24"/>
      <c r="D302" s="24"/>
      <c r="E302" s="24"/>
      <c r="F302" s="24"/>
      <c r="G302" s="24"/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</row>
    <row r="303" spans="1:26" ht="15.75" customHeight="1">
      <c r="A303" s="24"/>
      <c r="B303" s="24"/>
      <c r="C303" s="24"/>
      <c r="D303" s="24"/>
      <c r="E303" s="24"/>
      <c r="F303" s="24"/>
      <c r="G303" s="24"/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</row>
    <row r="304" spans="1:26" ht="15.75" customHeight="1">
      <c r="A304" s="24"/>
      <c r="B304" s="24"/>
      <c r="C304" s="24"/>
      <c r="D304" s="24"/>
      <c r="E304" s="24"/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</row>
    <row r="305" spans="1:26" ht="15.75" customHeight="1">
      <c r="A305" s="24"/>
      <c r="B305" s="24"/>
      <c r="C305" s="24"/>
      <c r="D305" s="24"/>
      <c r="E305" s="24"/>
      <c r="F305" s="24"/>
      <c r="G305" s="24"/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</row>
    <row r="306" spans="1:26" ht="15.75" customHeight="1">
      <c r="A306" s="24"/>
      <c r="B306" s="24"/>
      <c r="C306" s="24"/>
      <c r="D306" s="24"/>
      <c r="E306" s="24"/>
      <c r="F306" s="24"/>
      <c r="G306" s="24"/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</row>
    <row r="307" spans="1:26" ht="15.75" customHeight="1">
      <c r="A307" s="24"/>
      <c r="B307" s="24"/>
      <c r="C307" s="24"/>
      <c r="D307" s="24"/>
      <c r="E307" s="24"/>
      <c r="F307" s="24"/>
      <c r="G307" s="24"/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</row>
    <row r="308" spans="1:26" ht="15.75" customHeight="1">
      <c r="A308" s="24"/>
      <c r="B308" s="24"/>
      <c r="C308" s="24"/>
      <c r="D308" s="24"/>
      <c r="E308" s="24"/>
      <c r="F308" s="24"/>
      <c r="G308" s="24"/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</row>
    <row r="309" spans="1:26" ht="15.75" customHeight="1">
      <c r="A309" s="24"/>
      <c r="B309" s="24"/>
      <c r="C309" s="24"/>
      <c r="D309" s="24"/>
      <c r="E309" s="24"/>
      <c r="F309" s="24"/>
      <c r="G309" s="24"/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</row>
    <row r="310" spans="1:26" ht="15.75" customHeight="1">
      <c r="A310" s="24"/>
      <c r="B310" s="24"/>
      <c r="C310" s="24"/>
      <c r="D310" s="24"/>
      <c r="E310" s="24"/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</row>
    <row r="311" spans="1:26" ht="15.75" customHeight="1">
      <c r="A311" s="24"/>
      <c r="B311" s="24"/>
      <c r="C311" s="24"/>
      <c r="D311" s="24"/>
      <c r="E311" s="24"/>
      <c r="F311" s="24"/>
      <c r="G311" s="24"/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</row>
    <row r="312" spans="1:26" ht="15.75" customHeight="1">
      <c r="A312" s="24"/>
      <c r="B312" s="24"/>
      <c r="C312" s="24"/>
      <c r="D312" s="24"/>
      <c r="E312" s="24"/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</row>
    <row r="313" spans="1:26" ht="15.75" customHeight="1">
      <c r="A313" s="24"/>
      <c r="B313" s="24"/>
      <c r="C313" s="24"/>
      <c r="D313" s="24"/>
      <c r="E313" s="24"/>
      <c r="F313" s="24"/>
      <c r="G313" s="24"/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</row>
    <row r="314" spans="1:26" ht="15.75" customHeight="1">
      <c r="A314" s="24"/>
      <c r="B314" s="24"/>
      <c r="C314" s="24"/>
      <c r="D314" s="24"/>
      <c r="E314" s="24"/>
      <c r="F314" s="24"/>
      <c r="G314" s="24"/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</row>
    <row r="315" spans="1:26" ht="15.75" customHeight="1">
      <c r="A315" s="24"/>
      <c r="B315" s="24"/>
      <c r="C315" s="24"/>
      <c r="D315" s="24"/>
      <c r="E315" s="24"/>
      <c r="F315" s="24"/>
      <c r="G315" s="24"/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</row>
    <row r="316" spans="1:26" ht="15.75" customHeight="1">
      <c r="A316" s="24"/>
      <c r="B316" s="24"/>
      <c r="C316" s="24"/>
      <c r="D316" s="24"/>
      <c r="E316" s="24"/>
      <c r="F316" s="24"/>
      <c r="G316" s="24"/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</row>
    <row r="317" spans="1:26" ht="15.75" customHeight="1">
      <c r="A317" s="24"/>
      <c r="B317" s="24"/>
      <c r="C317" s="24"/>
      <c r="D317" s="24"/>
      <c r="E317" s="24"/>
      <c r="F317" s="24"/>
      <c r="G317" s="24"/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</row>
    <row r="318" spans="1:26" ht="15.75" customHeight="1">
      <c r="A318" s="24"/>
      <c r="B318" s="24"/>
      <c r="C318" s="24"/>
      <c r="D318" s="24"/>
      <c r="E318" s="24"/>
      <c r="F318" s="24"/>
      <c r="G318" s="24"/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</row>
    <row r="319" spans="1:26" ht="15.75" customHeight="1">
      <c r="A319" s="24"/>
      <c r="B319" s="24"/>
      <c r="C319" s="24"/>
      <c r="D319" s="24"/>
      <c r="E319" s="24"/>
      <c r="F319" s="24"/>
      <c r="G319" s="24"/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</row>
    <row r="320" spans="1:26" ht="15.75" customHeight="1">
      <c r="A320" s="24"/>
      <c r="B320" s="24"/>
      <c r="C320" s="24"/>
      <c r="D320" s="24"/>
      <c r="E320" s="24"/>
      <c r="F320" s="24"/>
      <c r="G320" s="24"/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</row>
    <row r="321" spans="1:26" ht="15.75" customHeight="1">
      <c r="A321" s="24"/>
      <c r="B321" s="24"/>
      <c r="C321" s="24"/>
      <c r="D321" s="24"/>
      <c r="E321" s="24"/>
      <c r="F321" s="24"/>
      <c r="G321" s="24"/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</row>
    <row r="322" spans="1:26" ht="15.75" customHeight="1">
      <c r="A322" s="24"/>
      <c r="B322" s="24"/>
      <c r="C322" s="24"/>
      <c r="D322" s="24"/>
      <c r="E322" s="24"/>
      <c r="F322" s="24"/>
      <c r="G322" s="24"/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</row>
    <row r="323" spans="1:26" ht="15.75" customHeight="1">
      <c r="A323" s="24"/>
      <c r="B323" s="24"/>
      <c r="C323" s="24"/>
      <c r="D323" s="24"/>
      <c r="E323" s="24"/>
      <c r="F323" s="24"/>
      <c r="G323" s="24"/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</row>
    <row r="324" spans="1:26" ht="15.75" customHeight="1">
      <c r="A324" s="24"/>
      <c r="B324" s="24"/>
      <c r="C324" s="24"/>
      <c r="D324" s="24"/>
      <c r="E324" s="24"/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</row>
    <row r="325" spans="1:26" ht="15.75" customHeight="1">
      <c r="A325" s="24"/>
      <c r="B325" s="24"/>
      <c r="C325" s="24"/>
      <c r="D325" s="24"/>
      <c r="E325" s="24"/>
      <c r="F325" s="24"/>
      <c r="G325" s="24"/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</row>
    <row r="326" spans="1:26" ht="15.75" customHeight="1">
      <c r="A326" s="24"/>
      <c r="B326" s="24"/>
      <c r="C326" s="24"/>
      <c r="D326" s="24"/>
      <c r="E326" s="24"/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</row>
    <row r="327" spans="1:26" ht="15.75" customHeight="1">
      <c r="A327" s="24"/>
      <c r="B327" s="24"/>
      <c r="C327" s="24"/>
      <c r="D327" s="24"/>
      <c r="E327" s="24"/>
      <c r="F327" s="24"/>
      <c r="G327" s="24"/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</row>
    <row r="328" spans="1:26" ht="15.75" customHeight="1">
      <c r="A328" s="24"/>
      <c r="B328" s="24"/>
      <c r="C328" s="24"/>
      <c r="D328" s="24"/>
      <c r="E328" s="24"/>
      <c r="F328" s="24"/>
      <c r="G328" s="24"/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</row>
    <row r="329" spans="1:26" ht="15.75" customHeight="1">
      <c r="A329" s="24"/>
      <c r="B329" s="24"/>
      <c r="C329" s="24"/>
      <c r="D329" s="24"/>
      <c r="E329" s="24"/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</row>
    <row r="330" spans="1:26" ht="15.75" customHeight="1">
      <c r="A330" s="24"/>
      <c r="B330" s="24"/>
      <c r="C330" s="24"/>
      <c r="D330" s="24"/>
      <c r="E330" s="24"/>
      <c r="F330" s="24"/>
      <c r="G330" s="24"/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</row>
    <row r="331" spans="1:26" ht="15.75" customHeight="1">
      <c r="A331" s="24"/>
      <c r="B331" s="24"/>
      <c r="C331" s="24"/>
      <c r="D331" s="24"/>
      <c r="E331" s="24"/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</row>
    <row r="332" spans="1:26" ht="15.75" customHeight="1">
      <c r="A332" s="24"/>
      <c r="B332" s="24"/>
      <c r="C332" s="24"/>
      <c r="D332" s="24"/>
      <c r="E332" s="24"/>
      <c r="F332" s="24"/>
      <c r="G332" s="24"/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</row>
    <row r="333" spans="1:26" ht="15.75" customHeight="1">
      <c r="A333" s="24"/>
      <c r="B333" s="24"/>
      <c r="C333" s="24"/>
      <c r="D333" s="24"/>
      <c r="E333" s="24"/>
      <c r="F333" s="24"/>
      <c r="G333" s="24"/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</row>
    <row r="334" spans="1:26" ht="15.75" customHeight="1">
      <c r="A334" s="24"/>
      <c r="B334" s="24"/>
      <c r="C334" s="24"/>
      <c r="D334" s="24"/>
      <c r="E334" s="24"/>
      <c r="F334" s="24"/>
      <c r="G334" s="24"/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</row>
    <row r="335" spans="1:26" ht="15.75" customHeight="1">
      <c r="A335" s="24"/>
      <c r="B335" s="24"/>
      <c r="C335" s="24"/>
      <c r="D335" s="24"/>
      <c r="E335" s="24"/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</row>
    <row r="336" spans="1:26" ht="15.75" customHeight="1">
      <c r="A336" s="24"/>
      <c r="B336" s="24"/>
      <c r="C336" s="24"/>
      <c r="D336" s="24"/>
      <c r="E336" s="24"/>
      <c r="F336" s="24"/>
      <c r="G336" s="24"/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</row>
    <row r="337" spans="1:26" ht="15.75" customHeight="1">
      <c r="A337" s="24"/>
      <c r="B337" s="24"/>
      <c r="C337" s="24"/>
      <c r="D337" s="24"/>
      <c r="E337" s="24"/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</row>
    <row r="338" spans="1:26" ht="15.75" customHeight="1">
      <c r="A338" s="24"/>
      <c r="B338" s="24"/>
      <c r="C338" s="24"/>
      <c r="D338" s="24"/>
      <c r="E338" s="24"/>
      <c r="F338" s="24"/>
      <c r="G338" s="24"/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</row>
    <row r="339" spans="1:26" ht="15.75" customHeight="1">
      <c r="A339" s="24"/>
      <c r="B339" s="24"/>
      <c r="C339" s="24"/>
      <c r="D339" s="24"/>
      <c r="E339" s="24"/>
      <c r="F339" s="24"/>
      <c r="G339" s="24"/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</row>
    <row r="340" spans="1:26" ht="15.75" customHeight="1">
      <c r="A340" s="24"/>
      <c r="B340" s="24"/>
      <c r="C340" s="24"/>
      <c r="D340" s="24"/>
      <c r="E340" s="24"/>
      <c r="F340" s="24"/>
      <c r="G340" s="24"/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</row>
    <row r="341" spans="1:26" ht="15.75" customHeight="1">
      <c r="A341" s="24"/>
      <c r="B341" s="24"/>
      <c r="C341" s="24"/>
      <c r="D341" s="24"/>
      <c r="E341" s="24"/>
      <c r="F341" s="24"/>
      <c r="G341" s="24"/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</row>
    <row r="342" spans="1:26" ht="15.75" customHeight="1">
      <c r="A342" s="24"/>
      <c r="B342" s="24"/>
      <c r="C342" s="24"/>
      <c r="D342" s="24"/>
      <c r="E342" s="24"/>
      <c r="F342" s="24"/>
      <c r="G342" s="24"/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</row>
    <row r="343" spans="1:26" ht="15.75" customHeight="1">
      <c r="A343" s="24"/>
      <c r="B343" s="24"/>
      <c r="C343" s="24"/>
      <c r="D343" s="24"/>
      <c r="E343" s="24"/>
      <c r="F343" s="24"/>
      <c r="G343" s="24"/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</row>
    <row r="344" spans="1:26" ht="15.75" customHeight="1">
      <c r="A344" s="24"/>
      <c r="B344" s="24"/>
      <c r="C344" s="24"/>
      <c r="D344" s="24"/>
      <c r="E344" s="24"/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</row>
    <row r="345" spans="1:26" ht="15.75" customHeight="1">
      <c r="A345" s="24"/>
      <c r="B345" s="24"/>
      <c r="C345" s="24"/>
      <c r="D345" s="24"/>
      <c r="E345" s="24"/>
      <c r="F345" s="24"/>
      <c r="G345" s="24"/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</row>
    <row r="346" spans="1:26" ht="15.75" customHeight="1">
      <c r="A346" s="24"/>
      <c r="B346" s="24"/>
      <c r="C346" s="24"/>
      <c r="D346" s="24"/>
      <c r="E346" s="24"/>
      <c r="F346" s="24"/>
      <c r="G346" s="24"/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</row>
    <row r="347" spans="1:26" ht="15.75" customHeight="1">
      <c r="A347" s="24"/>
      <c r="B347" s="24"/>
      <c r="C347" s="24"/>
      <c r="D347" s="24"/>
      <c r="E347" s="24"/>
      <c r="F347" s="24"/>
      <c r="G347" s="24"/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</row>
    <row r="348" spans="1:26" ht="15.75" customHeight="1">
      <c r="A348" s="24"/>
      <c r="B348" s="24"/>
      <c r="C348" s="24"/>
      <c r="D348" s="24"/>
      <c r="E348" s="24"/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</row>
    <row r="349" spans="1:26" ht="15.75" customHeight="1">
      <c r="A349" s="24"/>
      <c r="B349" s="24"/>
      <c r="C349" s="24"/>
      <c r="D349" s="24"/>
      <c r="E349" s="24"/>
      <c r="F349" s="24"/>
      <c r="G349" s="24"/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</row>
    <row r="350" spans="1:26" ht="15.75" customHeight="1">
      <c r="A350" s="24"/>
      <c r="B350" s="24"/>
      <c r="C350" s="24"/>
      <c r="D350" s="24"/>
      <c r="E350" s="24"/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</row>
    <row r="351" spans="1:26" ht="15.75" customHeight="1">
      <c r="A351" s="24"/>
      <c r="B351" s="24"/>
      <c r="C351" s="24"/>
      <c r="D351" s="24"/>
      <c r="E351" s="24"/>
      <c r="F351" s="24"/>
      <c r="G351" s="24"/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</row>
    <row r="352" spans="1:26" ht="15.75" customHeight="1">
      <c r="A352" s="24"/>
      <c r="B352" s="24"/>
      <c r="C352" s="24"/>
      <c r="D352" s="24"/>
      <c r="E352" s="24"/>
      <c r="F352" s="24"/>
      <c r="G352" s="24"/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</row>
    <row r="353" spans="1:26" ht="15.75" customHeight="1">
      <c r="A353" s="24"/>
      <c r="B353" s="24"/>
      <c r="C353" s="24"/>
      <c r="D353" s="24"/>
      <c r="E353" s="24"/>
      <c r="F353" s="24"/>
      <c r="G353" s="24"/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</row>
    <row r="354" spans="1:26" ht="15.75" customHeight="1">
      <c r="A354" s="24"/>
      <c r="B354" s="24"/>
      <c r="C354" s="24"/>
      <c r="D354" s="24"/>
      <c r="E354" s="24"/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</row>
    <row r="355" spans="1:26" ht="15.75" customHeight="1">
      <c r="A355" s="24"/>
      <c r="B355" s="24"/>
      <c r="C355" s="24"/>
      <c r="D355" s="24"/>
      <c r="E355" s="24"/>
      <c r="F355" s="24"/>
      <c r="G355" s="24"/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</row>
    <row r="356" spans="1:26" ht="15.75" customHeight="1">
      <c r="A356" s="24"/>
      <c r="B356" s="24"/>
      <c r="C356" s="24"/>
      <c r="D356" s="24"/>
      <c r="E356" s="24"/>
      <c r="F356" s="24"/>
      <c r="G356" s="24"/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</row>
    <row r="357" spans="1:26" ht="15.75" customHeight="1">
      <c r="A357" s="24"/>
      <c r="B357" s="24"/>
      <c r="C357" s="24"/>
      <c r="D357" s="24"/>
      <c r="E357" s="24"/>
      <c r="F357" s="24"/>
      <c r="G357" s="24"/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</row>
    <row r="358" spans="1:26" ht="15.75" customHeight="1">
      <c r="A358" s="24"/>
      <c r="B358" s="24"/>
      <c r="C358" s="24"/>
      <c r="D358" s="24"/>
      <c r="E358" s="24"/>
      <c r="F358" s="24"/>
      <c r="G358" s="24"/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</row>
    <row r="359" spans="1:26" ht="15.75" customHeight="1">
      <c r="A359" s="24"/>
      <c r="B359" s="24"/>
      <c r="C359" s="24"/>
      <c r="D359" s="24"/>
      <c r="E359" s="24"/>
      <c r="F359" s="24"/>
      <c r="G359" s="24"/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</row>
    <row r="360" spans="1:26" ht="15.75" customHeight="1">
      <c r="A360" s="24"/>
      <c r="B360" s="24"/>
      <c r="C360" s="24"/>
      <c r="D360" s="24"/>
      <c r="E360" s="24"/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</row>
    <row r="361" spans="1:26" ht="15.75" customHeight="1">
      <c r="A361" s="24"/>
      <c r="B361" s="24"/>
      <c r="C361" s="24"/>
      <c r="D361" s="24"/>
      <c r="E361" s="24"/>
      <c r="F361" s="24"/>
      <c r="G361" s="24"/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</row>
    <row r="362" spans="1:26" ht="15.75" customHeight="1">
      <c r="A362" s="24"/>
      <c r="B362" s="24"/>
      <c r="C362" s="24"/>
      <c r="D362" s="24"/>
      <c r="E362" s="24"/>
      <c r="F362" s="24"/>
      <c r="G362" s="24"/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</row>
    <row r="363" spans="1:26" ht="15.75" customHeight="1">
      <c r="A363" s="24"/>
      <c r="B363" s="24"/>
      <c r="C363" s="24"/>
      <c r="D363" s="24"/>
      <c r="E363" s="24"/>
      <c r="F363" s="24"/>
      <c r="G363" s="24"/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</row>
    <row r="364" spans="1:26" ht="15.75" customHeight="1">
      <c r="A364" s="24"/>
      <c r="B364" s="24"/>
      <c r="C364" s="24"/>
      <c r="D364" s="24"/>
      <c r="E364" s="24"/>
      <c r="F364" s="24"/>
      <c r="G364" s="24"/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</row>
    <row r="365" spans="1:26" ht="15.75" customHeight="1">
      <c r="A365" s="24"/>
      <c r="B365" s="24"/>
      <c r="C365" s="24"/>
      <c r="D365" s="24"/>
      <c r="E365" s="24"/>
      <c r="F365" s="24"/>
      <c r="G365" s="24"/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</row>
    <row r="366" spans="1:26" ht="15.75" customHeight="1">
      <c r="A366" s="24"/>
      <c r="B366" s="24"/>
      <c r="C366" s="24"/>
      <c r="D366" s="24"/>
      <c r="E366" s="24"/>
      <c r="F366" s="24"/>
      <c r="G366" s="24"/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</row>
    <row r="367" spans="1:26" ht="15.75" customHeight="1">
      <c r="A367" s="24"/>
      <c r="B367" s="24"/>
      <c r="C367" s="24"/>
      <c r="D367" s="24"/>
      <c r="E367" s="24"/>
      <c r="F367" s="24"/>
      <c r="G367" s="24"/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</row>
    <row r="368" spans="1:26" ht="15.75" customHeight="1">
      <c r="A368" s="24"/>
      <c r="B368" s="24"/>
      <c r="C368" s="24"/>
      <c r="D368" s="24"/>
      <c r="E368" s="24"/>
      <c r="F368" s="24"/>
      <c r="G368" s="24"/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</row>
    <row r="369" spans="1:26" ht="15.75" customHeight="1">
      <c r="A369" s="24"/>
      <c r="B369" s="24"/>
      <c r="C369" s="24"/>
      <c r="D369" s="24"/>
      <c r="E369" s="24"/>
      <c r="F369" s="24"/>
      <c r="G369" s="24"/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</row>
    <row r="370" spans="1:26" ht="15.75" customHeight="1">
      <c r="A370" s="24"/>
      <c r="B370" s="24"/>
      <c r="C370" s="24"/>
      <c r="D370" s="24"/>
      <c r="E370" s="24"/>
      <c r="F370" s="24"/>
      <c r="G370" s="24"/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</row>
    <row r="371" spans="1:26" ht="15.75" customHeight="1">
      <c r="A371" s="24"/>
      <c r="B371" s="24"/>
      <c r="C371" s="24"/>
      <c r="D371" s="24"/>
      <c r="E371" s="24"/>
      <c r="F371" s="24"/>
      <c r="G371" s="24"/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</row>
    <row r="372" spans="1:26" ht="15.75" customHeight="1">
      <c r="A372" s="24"/>
      <c r="B372" s="24"/>
      <c r="C372" s="24"/>
      <c r="D372" s="24"/>
      <c r="E372" s="24"/>
      <c r="F372" s="24"/>
      <c r="G372" s="24"/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</row>
    <row r="373" spans="1:26" ht="15.75" customHeight="1">
      <c r="A373" s="24"/>
      <c r="B373" s="24"/>
      <c r="C373" s="24"/>
      <c r="D373" s="24"/>
      <c r="E373" s="24"/>
      <c r="F373" s="24"/>
      <c r="G373" s="24"/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</row>
    <row r="374" spans="1:26" ht="15.75" customHeight="1">
      <c r="A374" s="24"/>
      <c r="B374" s="24"/>
      <c r="C374" s="24"/>
      <c r="D374" s="24"/>
      <c r="E374" s="24"/>
      <c r="F374" s="24"/>
      <c r="G374" s="24"/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</row>
    <row r="375" spans="1:26" ht="15.75" customHeight="1">
      <c r="A375" s="24"/>
      <c r="B375" s="24"/>
      <c r="C375" s="24"/>
      <c r="D375" s="24"/>
      <c r="E375" s="24"/>
      <c r="F375" s="24"/>
      <c r="G375" s="24"/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</row>
    <row r="376" spans="1:26" ht="15.75" customHeight="1">
      <c r="A376" s="24"/>
      <c r="B376" s="24"/>
      <c r="C376" s="24"/>
      <c r="D376" s="24"/>
      <c r="E376" s="24"/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</row>
    <row r="377" spans="1:26" ht="15.75" customHeight="1">
      <c r="A377" s="24"/>
      <c r="B377" s="24"/>
      <c r="C377" s="24"/>
      <c r="D377" s="24"/>
      <c r="E377" s="24"/>
      <c r="F377" s="24"/>
      <c r="G377" s="24"/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</row>
    <row r="378" spans="1:26" ht="15.75" customHeight="1">
      <c r="A378" s="24"/>
      <c r="B378" s="24"/>
      <c r="C378" s="24"/>
      <c r="D378" s="24"/>
      <c r="E378" s="24"/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</row>
    <row r="379" spans="1:26" ht="15.75" customHeight="1">
      <c r="A379" s="24"/>
      <c r="B379" s="24"/>
      <c r="C379" s="24"/>
      <c r="D379" s="24"/>
      <c r="E379" s="24"/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</row>
    <row r="380" spans="1:26" ht="15.75" customHeight="1">
      <c r="A380" s="24"/>
      <c r="B380" s="24"/>
      <c r="C380" s="24"/>
      <c r="D380" s="24"/>
      <c r="E380" s="24"/>
      <c r="F380" s="24"/>
      <c r="G380" s="24"/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</row>
    <row r="381" spans="1:26" ht="15.75" customHeight="1">
      <c r="A381" s="24"/>
      <c r="B381" s="24"/>
      <c r="C381" s="24"/>
      <c r="D381" s="24"/>
      <c r="E381" s="24"/>
      <c r="F381" s="24"/>
      <c r="G381" s="24"/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</row>
    <row r="382" spans="1:26" ht="15.75" customHeight="1">
      <c r="A382" s="24"/>
      <c r="B382" s="24"/>
      <c r="C382" s="24"/>
      <c r="D382" s="24"/>
      <c r="E382" s="24"/>
      <c r="F382" s="24"/>
      <c r="G382" s="24"/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</row>
    <row r="383" spans="1:26" ht="15.75" customHeight="1">
      <c r="A383" s="24"/>
      <c r="B383" s="24"/>
      <c r="C383" s="24"/>
      <c r="D383" s="24"/>
      <c r="E383" s="24"/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</row>
    <row r="384" spans="1:26" ht="15.75" customHeight="1">
      <c r="A384" s="24"/>
      <c r="B384" s="24"/>
      <c r="C384" s="24"/>
      <c r="D384" s="24"/>
      <c r="E384" s="24"/>
      <c r="F384" s="24"/>
      <c r="G384" s="24"/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</row>
    <row r="385" spans="1:26" ht="15.75" customHeight="1">
      <c r="A385" s="24"/>
      <c r="B385" s="24"/>
      <c r="C385" s="24"/>
      <c r="D385" s="24"/>
      <c r="E385" s="24"/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</row>
    <row r="386" spans="1:26" ht="15.75" customHeight="1">
      <c r="A386" s="24"/>
      <c r="B386" s="24"/>
      <c r="C386" s="24"/>
      <c r="D386" s="24"/>
      <c r="E386" s="24"/>
      <c r="F386" s="24"/>
      <c r="G386" s="24"/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</row>
    <row r="387" spans="1:26" ht="15.75" customHeight="1">
      <c r="A387" s="24"/>
      <c r="B387" s="24"/>
      <c r="C387" s="24"/>
      <c r="D387" s="24"/>
      <c r="E387" s="24"/>
      <c r="F387" s="24"/>
      <c r="G387" s="24"/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</row>
    <row r="388" spans="1:26" ht="15.75" customHeight="1">
      <c r="A388" s="24"/>
      <c r="B388" s="24"/>
      <c r="C388" s="24"/>
      <c r="D388" s="24"/>
      <c r="E388" s="24"/>
      <c r="F388" s="24"/>
      <c r="G388" s="24"/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</row>
    <row r="389" spans="1:26" ht="15.75" customHeight="1">
      <c r="A389" s="24"/>
      <c r="B389" s="24"/>
      <c r="C389" s="24"/>
      <c r="D389" s="24"/>
      <c r="E389" s="24"/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</row>
    <row r="390" spans="1:26" ht="15.75" customHeight="1">
      <c r="A390" s="24"/>
      <c r="B390" s="24"/>
      <c r="C390" s="24"/>
      <c r="D390" s="24"/>
      <c r="E390" s="24"/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</row>
    <row r="391" spans="1:26" ht="15.75" customHeight="1">
      <c r="A391" s="24"/>
      <c r="B391" s="24"/>
      <c r="C391" s="24"/>
      <c r="D391" s="24"/>
      <c r="E391" s="24"/>
      <c r="F391" s="24"/>
      <c r="G391" s="24"/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</row>
    <row r="392" spans="1:26" ht="15.75" customHeight="1">
      <c r="A392" s="24"/>
      <c r="B392" s="24"/>
      <c r="C392" s="24"/>
      <c r="D392" s="24"/>
      <c r="E392" s="24"/>
      <c r="F392" s="24"/>
      <c r="G392" s="24"/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</row>
    <row r="393" spans="1:26" ht="15.75" customHeight="1">
      <c r="A393" s="24"/>
      <c r="B393" s="24"/>
      <c r="C393" s="24"/>
      <c r="D393" s="24"/>
      <c r="E393" s="24"/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</row>
    <row r="394" spans="1:26" ht="15.75" customHeight="1">
      <c r="A394" s="24"/>
      <c r="B394" s="24"/>
      <c r="C394" s="24"/>
      <c r="D394" s="24"/>
      <c r="E394" s="24"/>
      <c r="F394" s="24"/>
      <c r="G394" s="24"/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</row>
    <row r="395" spans="1:26" ht="15.75" customHeight="1">
      <c r="A395" s="24"/>
      <c r="B395" s="24"/>
      <c r="C395" s="24"/>
      <c r="D395" s="24"/>
      <c r="E395" s="24"/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</row>
    <row r="396" spans="1:26" ht="15.75" customHeight="1">
      <c r="A396" s="24"/>
      <c r="B396" s="24"/>
      <c r="C396" s="24"/>
      <c r="D396" s="24"/>
      <c r="E396" s="24"/>
      <c r="F396" s="24"/>
      <c r="G396" s="24"/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</row>
    <row r="397" spans="1:26" ht="15.75" customHeight="1">
      <c r="A397" s="24"/>
      <c r="B397" s="24"/>
      <c r="C397" s="24"/>
      <c r="D397" s="24"/>
      <c r="E397" s="24"/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</row>
    <row r="398" spans="1:26" ht="15.75" customHeight="1">
      <c r="A398" s="24"/>
      <c r="B398" s="24"/>
      <c r="C398" s="24"/>
      <c r="D398" s="24"/>
      <c r="E398" s="24"/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</row>
    <row r="399" spans="1:26" ht="15.75" customHeight="1">
      <c r="A399" s="24"/>
      <c r="B399" s="24"/>
      <c r="C399" s="24"/>
      <c r="D399" s="24"/>
      <c r="E399" s="24"/>
      <c r="F399" s="24"/>
      <c r="G399" s="24"/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</row>
    <row r="400" spans="1:26" ht="15.75" customHeight="1">
      <c r="A400" s="24"/>
      <c r="B400" s="24"/>
      <c r="C400" s="24"/>
      <c r="D400" s="24"/>
      <c r="E400" s="24"/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</row>
    <row r="401" spans="1:26" ht="15.75" customHeight="1">
      <c r="A401" s="24"/>
      <c r="B401" s="24"/>
      <c r="C401" s="24"/>
      <c r="D401" s="24"/>
      <c r="E401" s="24"/>
      <c r="F401" s="24"/>
      <c r="G401" s="24"/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</row>
    <row r="402" spans="1:26" ht="15.75" customHeight="1">
      <c r="A402" s="24"/>
      <c r="B402" s="24"/>
      <c r="C402" s="24"/>
      <c r="D402" s="24"/>
      <c r="E402" s="24"/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</row>
    <row r="403" spans="1:26" ht="15.75" customHeight="1">
      <c r="A403" s="24"/>
      <c r="B403" s="24"/>
      <c r="C403" s="24"/>
      <c r="D403" s="24"/>
      <c r="E403" s="24"/>
      <c r="F403" s="24"/>
      <c r="G403" s="24"/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</row>
    <row r="404" spans="1:26" ht="15.75" customHeight="1">
      <c r="A404" s="24"/>
      <c r="B404" s="24"/>
      <c r="C404" s="24"/>
      <c r="D404" s="24"/>
      <c r="E404" s="24"/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</row>
    <row r="405" spans="1:26" ht="15.75" customHeight="1">
      <c r="A405" s="24"/>
      <c r="B405" s="24"/>
      <c r="C405" s="24"/>
      <c r="D405" s="24"/>
      <c r="E405" s="24"/>
      <c r="F405" s="24"/>
      <c r="G405" s="24"/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</row>
    <row r="406" spans="1:26" ht="15.75" customHeight="1">
      <c r="A406" s="24"/>
      <c r="B406" s="24"/>
      <c r="C406" s="24"/>
      <c r="D406" s="24"/>
      <c r="E406" s="24"/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</row>
    <row r="407" spans="1:26" ht="15.75" customHeight="1">
      <c r="A407" s="24"/>
      <c r="B407" s="24"/>
      <c r="C407" s="24"/>
      <c r="D407" s="24"/>
      <c r="E407" s="24"/>
      <c r="F407" s="24"/>
      <c r="G407" s="24"/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</row>
    <row r="408" spans="1:26" ht="15.75" customHeight="1">
      <c r="A408" s="24"/>
      <c r="B408" s="24"/>
      <c r="C408" s="24"/>
      <c r="D408" s="24"/>
      <c r="E408" s="24"/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</row>
    <row r="409" spans="1:26" ht="15.75" customHeight="1">
      <c r="A409" s="24"/>
      <c r="B409" s="24"/>
      <c r="C409" s="24"/>
      <c r="D409" s="24"/>
      <c r="E409" s="24"/>
      <c r="F409" s="24"/>
      <c r="G409" s="24"/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</row>
    <row r="410" spans="1:26" ht="15.75" customHeight="1">
      <c r="A410" s="24"/>
      <c r="B410" s="24"/>
      <c r="C410" s="24"/>
      <c r="D410" s="24"/>
      <c r="E410" s="24"/>
      <c r="F410" s="24"/>
      <c r="G410" s="24"/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</row>
    <row r="411" spans="1:26" ht="15.75" customHeight="1">
      <c r="A411" s="24"/>
      <c r="B411" s="24"/>
      <c r="C411" s="24"/>
      <c r="D411" s="24"/>
      <c r="E411" s="24"/>
      <c r="F411" s="24"/>
      <c r="G411" s="24"/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</row>
    <row r="412" spans="1:26" ht="15.75" customHeight="1">
      <c r="A412" s="24"/>
      <c r="B412" s="24"/>
      <c r="C412" s="24"/>
      <c r="D412" s="24"/>
      <c r="E412" s="24"/>
      <c r="F412" s="24"/>
      <c r="G412" s="24"/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</row>
    <row r="413" spans="1:26" ht="15.75" customHeight="1">
      <c r="A413" s="24"/>
      <c r="B413" s="24"/>
      <c r="C413" s="24"/>
      <c r="D413" s="24"/>
      <c r="E413" s="24"/>
      <c r="F413" s="24"/>
      <c r="G413" s="24"/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</row>
    <row r="414" spans="1:26" ht="15.75" customHeight="1">
      <c r="A414" s="24"/>
      <c r="B414" s="24"/>
      <c r="C414" s="24"/>
      <c r="D414" s="24"/>
      <c r="E414" s="24"/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</row>
    <row r="415" spans="1:26" ht="15.75" customHeight="1">
      <c r="A415" s="24"/>
      <c r="B415" s="24"/>
      <c r="C415" s="24"/>
      <c r="D415" s="24"/>
      <c r="E415" s="24"/>
      <c r="F415" s="24"/>
      <c r="G415" s="24"/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</row>
    <row r="416" spans="1:26" ht="15.75" customHeight="1">
      <c r="A416" s="24"/>
      <c r="B416" s="24"/>
      <c r="C416" s="24"/>
      <c r="D416" s="24"/>
      <c r="E416" s="24"/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</row>
    <row r="417" spans="1:26" ht="15.75" customHeight="1">
      <c r="A417" s="24"/>
      <c r="B417" s="24"/>
      <c r="C417" s="24"/>
      <c r="D417" s="24"/>
      <c r="E417" s="24"/>
      <c r="F417" s="24"/>
      <c r="G417" s="24"/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</row>
    <row r="418" spans="1:26" ht="15.75" customHeight="1">
      <c r="A418" s="24"/>
      <c r="B418" s="24"/>
      <c r="C418" s="24"/>
      <c r="D418" s="24"/>
      <c r="E418" s="24"/>
      <c r="F418" s="24"/>
      <c r="G418" s="24"/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</row>
    <row r="419" spans="1:26" ht="15.75" customHeight="1">
      <c r="A419" s="24"/>
      <c r="B419" s="24"/>
      <c r="C419" s="24"/>
      <c r="D419" s="24"/>
      <c r="E419" s="24"/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</row>
    <row r="420" spans="1:26" ht="15.75" customHeight="1">
      <c r="A420" s="24"/>
      <c r="B420" s="24"/>
      <c r="C420" s="24"/>
      <c r="D420" s="24"/>
      <c r="E420" s="24"/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</row>
    <row r="421" spans="1:26" ht="15.75" customHeight="1">
      <c r="A421" s="24"/>
      <c r="B421" s="24"/>
      <c r="C421" s="24"/>
      <c r="D421" s="24"/>
      <c r="E421" s="24"/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</row>
    <row r="422" spans="1:26" ht="15.75" customHeight="1">
      <c r="A422" s="24"/>
      <c r="B422" s="24"/>
      <c r="C422" s="24"/>
      <c r="D422" s="24"/>
      <c r="E422" s="24"/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</row>
    <row r="423" spans="1:26" ht="15.75" customHeight="1">
      <c r="A423" s="24"/>
      <c r="B423" s="24"/>
      <c r="C423" s="24"/>
      <c r="D423" s="24"/>
      <c r="E423" s="24"/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</row>
    <row r="424" spans="1:26" ht="15.75" customHeight="1">
      <c r="A424" s="24"/>
      <c r="B424" s="24"/>
      <c r="C424" s="24"/>
      <c r="D424" s="24"/>
      <c r="E424" s="24"/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</row>
    <row r="425" spans="1:26" ht="15.75" customHeight="1">
      <c r="A425" s="24"/>
      <c r="B425" s="24"/>
      <c r="C425" s="24"/>
      <c r="D425" s="24"/>
      <c r="E425" s="24"/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</row>
    <row r="426" spans="1:26" ht="15.75" customHeight="1">
      <c r="A426" s="24"/>
      <c r="B426" s="24"/>
      <c r="C426" s="24"/>
      <c r="D426" s="24"/>
      <c r="E426" s="24"/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</row>
    <row r="427" spans="1:26" ht="15.75" customHeight="1">
      <c r="A427" s="24"/>
      <c r="B427" s="24"/>
      <c r="C427" s="24"/>
      <c r="D427" s="24"/>
      <c r="E427" s="24"/>
      <c r="F427" s="24"/>
      <c r="G427" s="24"/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</row>
    <row r="428" spans="1:26" ht="15.75" customHeight="1">
      <c r="A428" s="24"/>
      <c r="B428" s="24"/>
      <c r="C428" s="24"/>
      <c r="D428" s="24"/>
      <c r="E428" s="24"/>
      <c r="F428" s="24"/>
      <c r="G428" s="24"/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</row>
    <row r="429" spans="1:26" ht="15.75" customHeight="1">
      <c r="A429" s="24"/>
      <c r="B429" s="24"/>
      <c r="C429" s="24"/>
      <c r="D429" s="24"/>
      <c r="E429" s="24"/>
      <c r="F429" s="24"/>
      <c r="G429" s="24"/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</row>
    <row r="430" spans="1:26" ht="15.75" customHeight="1">
      <c r="A430" s="24"/>
      <c r="B430" s="24"/>
      <c r="C430" s="24"/>
      <c r="D430" s="24"/>
      <c r="E430" s="24"/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</row>
    <row r="431" spans="1:26" ht="15.75" customHeight="1">
      <c r="A431" s="24"/>
      <c r="B431" s="24"/>
      <c r="C431" s="24"/>
      <c r="D431" s="24"/>
      <c r="E431" s="24"/>
      <c r="F431" s="24"/>
      <c r="G431" s="24"/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</row>
    <row r="432" spans="1:26" ht="15.75" customHeight="1">
      <c r="A432" s="24"/>
      <c r="B432" s="24"/>
      <c r="C432" s="24"/>
      <c r="D432" s="24"/>
      <c r="E432" s="24"/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</row>
    <row r="433" spans="1:26" ht="15.75" customHeight="1">
      <c r="A433" s="24"/>
      <c r="B433" s="24"/>
      <c r="C433" s="24"/>
      <c r="D433" s="24"/>
      <c r="E433" s="24"/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</row>
    <row r="434" spans="1:26" ht="15.75" customHeight="1">
      <c r="A434" s="24"/>
      <c r="B434" s="24"/>
      <c r="C434" s="24"/>
      <c r="D434" s="24"/>
      <c r="E434" s="24"/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</row>
    <row r="435" spans="1:26" ht="15.75" customHeight="1">
      <c r="A435" s="24"/>
      <c r="B435" s="24"/>
      <c r="C435" s="24"/>
      <c r="D435" s="24"/>
      <c r="E435" s="24"/>
      <c r="F435" s="24"/>
      <c r="G435" s="24"/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</row>
    <row r="436" spans="1:26" ht="15.75" customHeight="1">
      <c r="A436" s="24"/>
      <c r="B436" s="24"/>
      <c r="C436" s="24"/>
      <c r="D436" s="24"/>
      <c r="E436" s="24"/>
      <c r="F436" s="24"/>
      <c r="G436" s="24"/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</row>
    <row r="437" spans="1:26" ht="15.75" customHeight="1">
      <c r="A437" s="24"/>
      <c r="B437" s="24"/>
      <c r="C437" s="24"/>
      <c r="D437" s="24"/>
      <c r="E437" s="24"/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</row>
    <row r="438" spans="1:26" ht="15.75" customHeight="1">
      <c r="A438" s="24"/>
      <c r="B438" s="24"/>
      <c r="C438" s="24"/>
      <c r="D438" s="24"/>
      <c r="E438" s="24"/>
      <c r="F438" s="24"/>
      <c r="G438" s="24"/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</row>
    <row r="439" spans="1:26" ht="15.75" customHeight="1">
      <c r="A439" s="24"/>
      <c r="B439" s="24"/>
      <c r="C439" s="24"/>
      <c r="D439" s="24"/>
      <c r="E439" s="24"/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</row>
    <row r="440" spans="1:26" ht="15.75" customHeight="1">
      <c r="A440" s="24"/>
      <c r="B440" s="24"/>
      <c r="C440" s="24"/>
      <c r="D440" s="24"/>
      <c r="E440" s="24"/>
      <c r="F440" s="24"/>
      <c r="G440" s="24"/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</row>
    <row r="441" spans="1:26" ht="15.75" customHeight="1">
      <c r="A441" s="24"/>
      <c r="B441" s="24"/>
      <c r="C441" s="24"/>
      <c r="D441" s="24"/>
      <c r="E441" s="24"/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</row>
    <row r="442" spans="1:26" ht="15.75" customHeight="1">
      <c r="A442" s="24"/>
      <c r="B442" s="24"/>
      <c r="C442" s="24"/>
      <c r="D442" s="24"/>
      <c r="E442" s="24"/>
      <c r="F442" s="24"/>
      <c r="G442" s="24"/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</row>
    <row r="443" spans="1:26" ht="15.75" customHeight="1">
      <c r="A443" s="24"/>
      <c r="B443" s="24"/>
      <c r="C443" s="24"/>
      <c r="D443" s="24"/>
      <c r="E443" s="24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</row>
    <row r="444" spans="1:26" ht="15.75" customHeight="1">
      <c r="A444" s="24"/>
      <c r="B444" s="24"/>
      <c r="C444" s="24"/>
      <c r="D444" s="24"/>
      <c r="E444" s="24"/>
      <c r="F444" s="24"/>
      <c r="G444" s="24"/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</row>
    <row r="445" spans="1:26" ht="15.75" customHeight="1">
      <c r="A445" s="24"/>
      <c r="B445" s="24"/>
      <c r="C445" s="24"/>
      <c r="D445" s="24"/>
      <c r="E445" s="24"/>
      <c r="F445" s="24"/>
      <c r="G445" s="24"/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</row>
    <row r="446" spans="1:26" ht="15.75" customHeight="1">
      <c r="A446" s="24"/>
      <c r="B446" s="24"/>
      <c r="C446" s="24"/>
      <c r="D446" s="24"/>
      <c r="E446" s="24"/>
      <c r="F446" s="24"/>
      <c r="G446" s="24"/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</row>
    <row r="447" spans="1:26" ht="15.75" customHeight="1">
      <c r="A447" s="24"/>
      <c r="B447" s="24"/>
      <c r="C447" s="24"/>
      <c r="D447" s="24"/>
      <c r="E447" s="24"/>
      <c r="F447" s="24"/>
      <c r="G447" s="24"/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</row>
    <row r="448" spans="1:26" ht="15.75" customHeight="1">
      <c r="A448" s="24"/>
      <c r="B448" s="24"/>
      <c r="C448" s="24"/>
      <c r="D448" s="24"/>
      <c r="E448" s="24"/>
      <c r="F448" s="24"/>
      <c r="G448" s="24"/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</row>
    <row r="449" spans="1:26" ht="15.75" customHeight="1">
      <c r="A449" s="24"/>
      <c r="B449" s="24"/>
      <c r="C449" s="24"/>
      <c r="D449" s="24"/>
      <c r="E449" s="24"/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</row>
    <row r="450" spans="1:26" ht="15.75" customHeight="1">
      <c r="A450" s="24"/>
      <c r="B450" s="24"/>
      <c r="C450" s="24"/>
      <c r="D450" s="24"/>
      <c r="E450" s="24"/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</row>
    <row r="451" spans="1:26" ht="15.75" customHeight="1">
      <c r="A451" s="24"/>
      <c r="B451" s="24"/>
      <c r="C451" s="24"/>
      <c r="D451" s="24"/>
      <c r="E451" s="24"/>
      <c r="F451" s="24"/>
      <c r="G451" s="24"/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</row>
    <row r="452" spans="1:26" ht="15.75" customHeight="1">
      <c r="A452" s="24"/>
      <c r="B452" s="24"/>
      <c r="C452" s="24"/>
      <c r="D452" s="24"/>
      <c r="E452" s="24"/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</row>
    <row r="453" spans="1:26" ht="15.75" customHeight="1">
      <c r="A453" s="24"/>
      <c r="B453" s="24"/>
      <c r="C453" s="24"/>
      <c r="D453" s="24"/>
      <c r="E453" s="24"/>
      <c r="F453" s="24"/>
      <c r="G453" s="24"/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</row>
    <row r="454" spans="1:26" ht="15.75" customHeight="1">
      <c r="A454" s="24"/>
      <c r="B454" s="24"/>
      <c r="C454" s="24"/>
      <c r="D454" s="24"/>
      <c r="E454" s="24"/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</row>
    <row r="455" spans="1:26" ht="15.75" customHeight="1">
      <c r="A455" s="24"/>
      <c r="B455" s="24"/>
      <c r="C455" s="24"/>
      <c r="D455" s="24"/>
      <c r="E455" s="24"/>
      <c r="F455" s="24"/>
      <c r="G455" s="24"/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</row>
    <row r="456" spans="1:26" ht="15.75" customHeight="1">
      <c r="A456" s="24"/>
      <c r="B456" s="24"/>
      <c r="C456" s="24"/>
      <c r="D456" s="24"/>
      <c r="E456" s="24"/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</row>
    <row r="457" spans="1:26" ht="15.75" customHeight="1">
      <c r="A457" s="24"/>
      <c r="B457" s="24"/>
      <c r="C457" s="24"/>
      <c r="D457" s="24"/>
      <c r="E457" s="24"/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</row>
    <row r="458" spans="1:26" ht="15.75" customHeight="1">
      <c r="A458" s="24"/>
      <c r="B458" s="24"/>
      <c r="C458" s="24"/>
      <c r="D458" s="24"/>
      <c r="E458" s="24"/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</row>
    <row r="459" spans="1:26" ht="15.75" customHeight="1">
      <c r="A459" s="24"/>
      <c r="B459" s="24"/>
      <c r="C459" s="24"/>
      <c r="D459" s="24"/>
      <c r="E459" s="24"/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</row>
    <row r="460" spans="1:26" ht="15.75" customHeight="1">
      <c r="A460" s="24"/>
      <c r="B460" s="24"/>
      <c r="C460" s="24"/>
      <c r="D460" s="24"/>
      <c r="E460" s="24"/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</row>
    <row r="461" spans="1:26" ht="15.75" customHeight="1">
      <c r="A461" s="24"/>
      <c r="B461" s="24"/>
      <c r="C461" s="24"/>
      <c r="D461" s="24"/>
      <c r="E461" s="24"/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</row>
    <row r="462" spans="1:26" ht="15.75" customHeight="1">
      <c r="A462" s="24"/>
      <c r="B462" s="24"/>
      <c r="C462" s="24"/>
      <c r="D462" s="24"/>
      <c r="E462" s="24"/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</row>
    <row r="463" spans="1:26" ht="15.75" customHeight="1">
      <c r="A463" s="24"/>
      <c r="B463" s="24"/>
      <c r="C463" s="24"/>
      <c r="D463" s="24"/>
      <c r="E463" s="24"/>
      <c r="F463" s="24"/>
      <c r="G463" s="24"/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</row>
    <row r="464" spans="1:26" ht="15.75" customHeight="1">
      <c r="A464" s="24"/>
      <c r="B464" s="24"/>
      <c r="C464" s="24"/>
      <c r="D464" s="24"/>
      <c r="E464" s="24"/>
      <c r="F464" s="24"/>
      <c r="G464" s="24"/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</row>
    <row r="465" spans="1:26" ht="15.75" customHeight="1">
      <c r="A465" s="24"/>
      <c r="B465" s="24"/>
      <c r="C465" s="24"/>
      <c r="D465" s="24"/>
      <c r="E465" s="24"/>
      <c r="F465" s="24"/>
      <c r="G465" s="24"/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</row>
    <row r="466" spans="1:26" ht="15.75" customHeight="1">
      <c r="A466" s="24"/>
      <c r="B466" s="24"/>
      <c r="C466" s="24"/>
      <c r="D466" s="24"/>
      <c r="E466" s="24"/>
      <c r="F466" s="24"/>
      <c r="G466" s="24"/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</row>
    <row r="467" spans="1:26" ht="15.75" customHeight="1">
      <c r="A467" s="24"/>
      <c r="B467" s="24"/>
      <c r="C467" s="24"/>
      <c r="D467" s="24"/>
      <c r="E467" s="24"/>
      <c r="F467" s="24"/>
      <c r="G467" s="24"/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</row>
    <row r="468" spans="1:26" ht="15.75" customHeight="1">
      <c r="A468" s="24"/>
      <c r="B468" s="24"/>
      <c r="C468" s="24"/>
      <c r="D468" s="24"/>
      <c r="E468" s="24"/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</row>
    <row r="469" spans="1:26" ht="15.75" customHeight="1">
      <c r="A469" s="24"/>
      <c r="B469" s="24"/>
      <c r="C469" s="24"/>
      <c r="D469" s="24"/>
      <c r="E469" s="24"/>
      <c r="F469" s="24"/>
      <c r="G469" s="24"/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</row>
    <row r="470" spans="1:26" ht="15.75" customHeight="1">
      <c r="A470" s="24"/>
      <c r="B470" s="24"/>
      <c r="C470" s="24"/>
      <c r="D470" s="24"/>
      <c r="E470" s="24"/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</row>
    <row r="471" spans="1:26" ht="15.75" customHeight="1">
      <c r="A471" s="24"/>
      <c r="B471" s="24"/>
      <c r="C471" s="24"/>
      <c r="D471" s="24"/>
      <c r="E471" s="24"/>
      <c r="F471" s="24"/>
      <c r="G471" s="24"/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</row>
    <row r="472" spans="1:26" ht="15.75" customHeight="1">
      <c r="A472" s="24"/>
      <c r="B472" s="24"/>
      <c r="C472" s="24"/>
      <c r="D472" s="24"/>
      <c r="E472" s="24"/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</row>
    <row r="473" spans="1:26" ht="15.75" customHeight="1">
      <c r="A473" s="24"/>
      <c r="B473" s="24"/>
      <c r="C473" s="24"/>
      <c r="D473" s="24"/>
      <c r="E473" s="24"/>
      <c r="F473" s="24"/>
      <c r="G473" s="24"/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</row>
    <row r="474" spans="1:26" ht="15.75" customHeight="1">
      <c r="A474" s="24"/>
      <c r="B474" s="24"/>
      <c r="C474" s="24"/>
      <c r="D474" s="24"/>
      <c r="E474" s="24"/>
      <c r="F474" s="24"/>
      <c r="G474" s="24"/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</row>
    <row r="475" spans="1:26" ht="15.75" customHeight="1">
      <c r="A475" s="24"/>
      <c r="B475" s="24"/>
      <c r="C475" s="24"/>
      <c r="D475" s="24"/>
      <c r="E475" s="24"/>
      <c r="F475" s="24"/>
      <c r="G475" s="24"/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</row>
    <row r="476" spans="1:26" ht="15.75" customHeight="1">
      <c r="A476" s="24"/>
      <c r="B476" s="24"/>
      <c r="C476" s="24"/>
      <c r="D476" s="24"/>
      <c r="E476" s="24"/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</row>
    <row r="477" spans="1:26" ht="15.75" customHeight="1">
      <c r="A477" s="24"/>
      <c r="B477" s="24"/>
      <c r="C477" s="24"/>
      <c r="D477" s="24"/>
      <c r="E477" s="24"/>
      <c r="F477" s="24"/>
      <c r="G477" s="24"/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</row>
    <row r="478" spans="1:26" ht="15.75" customHeight="1">
      <c r="A478" s="24"/>
      <c r="B478" s="24"/>
      <c r="C478" s="24"/>
      <c r="D478" s="24"/>
      <c r="E478" s="24"/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</row>
    <row r="479" spans="1:26" ht="15.75" customHeight="1">
      <c r="A479" s="24"/>
      <c r="B479" s="24"/>
      <c r="C479" s="24"/>
      <c r="D479" s="24"/>
      <c r="E479" s="24"/>
      <c r="F479" s="24"/>
      <c r="G479" s="24"/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</row>
    <row r="480" spans="1:26" ht="15.75" customHeight="1">
      <c r="A480" s="24"/>
      <c r="B480" s="24"/>
      <c r="C480" s="24"/>
      <c r="D480" s="24"/>
      <c r="E480" s="24"/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</row>
    <row r="481" spans="1:26" ht="15.75" customHeight="1">
      <c r="A481" s="24"/>
      <c r="B481" s="24"/>
      <c r="C481" s="24"/>
      <c r="D481" s="24"/>
      <c r="E481" s="24"/>
      <c r="F481" s="24"/>
      <c r="G481" s="24"/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</row>
    <row r="482" spans="1:26" ht="15.75" customHeight="1">
      <c r="A482" s="24"/>
      <c r="B482" s="24"/>
      <c r="C482" s="24"/>
      <c r="D482" s="24"/>
      <c r="E482" s="24"/>
      <c r="F482" s="24"/>
      <c r="G482" s="24"/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</row>
    <row r="483" spans="1:26" ht="15.75" customHeight="1">
      <c r="A483" s="24"/>
      <c r="B483" s="24"/>
      <c r="C483" s="24"/>
      <c r="D483" s="24"/>
      <c r="E483" s="24"/>
      <c r="F483" s="24"/>
      <c r="G483" s="24"/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</row>
    <row r="484" spans="1:26" ht="15.75" customHeight="1">
      <c r="A484" s="24"/>
      <c r="B484" s="24"/>
      <c r="C484" s="24"/>
      <c r="D484" s="24"/>
      <c r="E484" s="24"/>
      <c r="F484" s="24"/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</row>
    <row r="485" spans="1:26" ht="15.75" customHeight="1">
      <c r="A485" s="24"/>
      <c r="B485" s="24"/>
      <c r="C485" s="24"/>
      <c r="D485" s="24"/>
      <c r="E485" s="24"/>
      <c r="F485" s="24"/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</row>
    <row r="486" spans="1:26" ht="15.75" customHeight="1">
      <c r="A486" s="24"/>
      <c r="B486" s="24"/>
      <c r="C486" s="24"/>
      <c r="D486" s="24"/>
      <c r="E486" s="24"/>
      <c r="F486" s="24"/>
      <c r="G486" s="24"/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</row>
    <row r="487" spans="1:26" ht="15.75" customHeight="1">
      <c r="A487" s="24"/>
      <c r="B487" s="24"/>
      <c r="C487" s="24"/>
      <c r="D487" s="24"/>
      <c r="E487" s="24"/>
      <c r="F487" s="24"/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</row>
    <row r="488" spans="1:26" ht="15.75" customHeight="1">
      <c r="A488" s="24"/>
      <c r="B488" s="24"/>
      <c r="C488" s="24"/>
      <c r="D488" s="24"/>
      <c r="E488" s="24"/>
      <c r="F488" s="24"/>
      <c r="G488" s="24"/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</row>
    <row r="489" spans="1:26" ht="15.75" customHeight="1">
      <c r="A489" s="24"/>
      <c r="B489" s="24"/>
      <c r="C489" s="24"/>
      <c r="D489" s="24"/>
      <c r="E489" s="24"/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</row>
    <row r="490" spans="1:26" ht="15.75" customHeight="1">
      <c r="A490" s="24"/>
      <c r="B490" s="24"/>
      <c r="C490" s="24"/>
      <c r="D490" s="24"/>
      <c r="E490" s="24"/>
      <c r="F490" s="24"/>
      <c r="G490" s="24"/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</row>
    <row r="491" spans="1:26" ht="15.75" customHeight="1">
      <c r="A491" s="24"/>
      <c r="B491" s="24"/>
      <c r="C491" s="24"/>
      <c r="D491" s="24"/>
      <c r="E491" s="24"/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</row>
    <row r="492" spans="1:26" ht="15.75" customHeight="1">
      <c r="A492" s="24"/>
      <c r="B492" s="24"/>
      <c r="C492" s="24"/>
      <c r="D492" s="24"/>
      <c r="E492" s="24"/>
      <c r="F492" s="24"/>
      <c r="G492" s="24"/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</row>
    <row r="493" spans="1:26" ht="15.75" customHeight="1">
      <c r="A493" s="24"/>
      <c r="B493" s="24"/>
      <c r="C493" s="24"/>
      <c r="D493" s="24"/>
      <c r="E493" s="24"/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</row>
    <row r="494" spans="1:26" ht="15.75" customHeight="1">
      <c r="A494" s="24"/>
      <c r="B494" s="24"/>
      <c r="C494" s="24"/>
      <c r="D494" s="24"/>
      <c r="E494" s="24"/>
      <c r="F494" s="24"/>
      <c r="G494" s="24"/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</row>
    <row r="495" spans="1:26" ht="15.75" customHeight="1">
      <c r="A495" s="24"/>
      <c r="B495" s="24"/>
      <c r="C495" s="24"/>
      <c r="D495" s="24"/>
      <c r="E495" s="24"/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</row>
    <row r="496" spans="1:26" ht="15.75" customHeight="1">
      <c r="A496" s="24"/>
      <c r="B496" s="24"/>
      <c r="C496" s="24"/>
      <c r="D496" s="24"/>
      <c r="E496" s="24"/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</row>
    <row r="497" spans="1:26" ht="15.75" customHeight="1">
      <c r="A497" s="24"/>
      <c r="B497" s="24"/>
      <c r="C497" s="24"/>
      <c r="D497" s="24"/>
      <c r="E497" s="24"/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</row>
    <row r="498" spans="1:26" ht="15.75" customHeight="1">
      <c r="A498" s="24"/>
      <c r="B498" s="24"/>
      <c r="C498" s="24"/>
      <c r="D498" s="24"/>
      <c r="E498" s="24"/>
      <c r="F498" s="24"/>
      <c r="G498" s="24"/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</row>
    <row r="499" spans="1:26" ht="15.75" customHeight="1">
      <c r="A499" s="24"/>
      <c r="B499" s="24"/>
      <c r="C499" s="24"/>
      <c r="D499" s="24"/>
      <c r="E499" s="24"/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</row>
    <row r="500" spans="1:26" ht="15.75" customHeight="1">
      <c r="A500" s="24"/>
      <c r="B500" s="24"/>
      <c r="C500" s="24"/>
      <c r="D500" s="24"/>
      <c r="E500" s="24"/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</row>
    <row r="501" spans="1:26" ht="15.75" customHeight="1">
      <c r="A501" s="24"/>
      <c r="B501" s="24"/>
      <c r="C501" s="24"/>
      <c r="D501" s="24"/>
      <c r="E501" s="24"/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</row>
    <row r="502" spans="1:26" ht="15.75" customHeight="1">
      <c r="A502" s="24"/>
      <c r="B502" s="24"/>
      <c r="C502" s="24"/>
      <c r="D502" s="24"/>
      <c r="E502" s="24"/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</row>
    <row r="503" spans="1:26" ht="15.75" customHeight="1">
      <c r="A503" s="24"/>
      <c r="B503" s="24"/>
      <c r="C503" s="24"/>
      <c r="D503" s="24"/>
      <c r="E503" s="24"/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</row>
    <row r="504" spans="1:26" ht="15.75" customHeight="1">
      <c r="A504" s="24"/>
      <c r="B504" s="24"/>
      <c r="C504" s="24"/>
      <c r="D504" s="24"/>
      <c r="E504" s="24"/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</row>
    <row r="505" spans="1:26" ht="15.75" customHeight="1">
      <c r="A505" s="24"/>
      <c r="B505" s="24"/>
      <c r="C505" s="24"/>
      <c r="D505" s="24"/>
      <c r="E505" s="24"/>
      <c r="F505" s="24"/>
      <c r="G505" s="24"/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</row>
    <row r="506" spans="1:26" ht="15.75" customHeight="1">
      <c r="A506" s="24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</row>
    <row r="507" spans="1:26" ht="15.75" customHeight="1">
      <c r="A507" s="24"/>
      <c r="B507" s="24"/>
      <c r="C507" s="24"/>
      <c r="D507" s="24"/>
      <c r="E507" s="24"/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</row>
    <row r="508" spans="1:26" ht="15.75" customHeight="1">
      <c r="A508" s="24"/>
      <c r="B508" s="24"/>
      <c r="C508" s="24"/>
      <c r="D508" s="24"/>
      <c r="E508" s="24"/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</row>
    <row r="509" spans="1:26" ht="15.75" customHeight="1">
      <c r="A509" s="24"/>
      <c r="B509" s="24"/>
      <c r="C509" s="24"/>
      <c r="D509" s="24"/>
      <c r="E509" s="24"/>
      <c r="F509" s="24"/>
      <c r="G509" s="24"/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</row>
    <row r="510" spans="1:26" ht="15.75" customHeight="1">
      <c r="A510" s="24"/>
      <c r="B510" s="24"/>
      <c r="C510" s="24"/>
      <c r="D510" s="24"/>
      <c r="E510" s="24"/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</row>
    <row r="511" spans="1:26" ht="15.75" customHeight="1">
      <c r="A511" s="24"/>
      <c r="B511" s="24"/>
      <c r="C511" s="24"/>
      <c r="D511" s="24"/>
      <c r="E511" s="24"/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</row>
    <row r="512" spans="1:26" ht="15.75" customHeight="1">
      <c r="A512" s="24"/>
      <c r="B512" s="24"/>
      <c r="C512" s="24"/>
      <c r="D512" s="24"/>
      <c r="E512" s="24"/>
      <c r="F512" s="24"/>
      <c r="G512" s="24"/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</row>
    <row r="513" spans="1:26" ht="15.75" customHeight="1">
      <c r="A513" s="24"/>
      <c r="B513" s="24"/>
      <c r="C513" s="24"/>
      <c r="D513" s="24"/>
      <c r="E513" s="24"/>
      <c r="F513" s="24"/>
      <c r="G513" s="24"/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</row>
    <row r="514" spans="1:26" ht="15.75" customHeight="1">
      <c r="A514" s="24"/>
      <c r="B514" s="24"/>
      <c r="C514" s="24"/>
      <c r="D514" s="24"/>
      <c r="E514" s="24"/>
      <c r="F514" s="24"/>
      <c r="G514" s="24"/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</row>
    <row r="515" spans="1:26" ht="15.75" customHeight="1">
      <c r="A515" s="24"/>
      <c r="B515" s="24"/>
      <c r="C515" s="24"/>
      <c r="D515" s="24"/>
      <c r="E515" s="24"/>
      <c r="F515" s="24"/>
      <c r="G515" s="24"/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</row>
    <row r="516" spans="1:26" ht="15.75" customHeight="1">
      <c r="A516" s="24"/>
      <c r="B516" s="24"/>
      <c r="C516" s="24"/>
      <c r="D516" s="24"/>
      <c r="E516" s="24"/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</row>
    <row r="517" spans="1:26" ht="15.75" customHeight="1">
      <c r="A517" s="24"/>
      <c r="B517" s="24"/>
      <c r="C517" s="24"/>
      <c r="D517" s="24"/>
      <c r="E517" s="24"/>
      <c r="F517" s="24"/>
      <c r="G517" s="24"/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</row>
    <row r="518" spans="1:26" ht="15.75" customHeight="1">
      <c r="A518" s="24"/>
      <c r="B518" s="24"/>
      <c r="C518" s="24"/>
      <c r="D518" s="24"/>
      <c r="E518" s="24"/>
      <c r="F518" s="24"/>
      <c r="G518" s="24"/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</row>
    <row r="519" spans="1:26" ht="15.75" customHeight="1">
      <c r="A519" s="24"/>
      <c r="B519" s="24"/>
      <c r="C519" s="24"/>
      <c r="D519" s="24"/>
      <c r="E519" s="24"/>
      <c r="F519" s="24"/>
      <c r="G519" s="24"/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</row>
    <row r="520" spans="1:26" ht="15.75" customHeight="1">
      <c r="A520" s="24"/>
      <c r="B520" s="24"/>
      <c r="C520" s="24"/>
      <c r="D520" s="24"/>
      <c r="E520" s="24"/>
      <c r="F520" s="24"/>
      <c r="G520" s="24"/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</row>
    <row r="521" spans="1:26" ht="15.75" customHeight="1">
      <c r="A521" s="24"/>
      <c r="B521" s="24"/>
      <c r="C521" s="24"/>
      <c r="D521" s="24"/>
      <c r="E521" s="24"/>
      <c r="F521" s="24"/>
      <c r="G521" s="24"/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</row>
    <row r="522" spans="1:26" ht="15.75" customHeight="1">
      <c r="A522" s="24"/>
      <c r="B522" s="24"/>
      <c r="C522" s="24"/>
      <c r="D522" s="24"/>
      <c r="E522" s="24"/>
      <c r="F522" s="24"/>
      <c r="G522" s="24"/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</row>
    <row r="523" spans="1:26" ht="15.75" customHeight="1">
      <c r="A523" s="24"/>
      <c r="B523" s="24"/>
      <c r="C523" s="24"/>
      <c r="D523" s="24"/>
      <c r="E523" s="24"/>
      <c r="F523" s="24"/>
      <c r="G523" s="24"/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</row>
    <row r="524" spans="1:26" ht="15.75" customHeight="1">
      <c r="A524" s="24"/>
      <c r="B524" s="24"/>
      <c r="C524" s="24"/>
      <c r="D524" s="24"/>
      <c r="E524" s="24"/>
      <c r="F524" s="24"/>
      <c r="G524" s="24"/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</row>
    <row r="525" spans="1:26" ht="15.75" customHeight="1">
      <c r="A525" s="24"/>
      <c r="B525" s="24"/>
      <c r="C525" s="24"/>
      <c r="D525" s="24"/>
      <c r="E525" s="24"/>
      <c r="F525" s="24"/>
      <c r="G525" s="24"/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</row>
    <row r="526" spans="1:26" ht="15.75" customHeight="1">
      <c r="A526" s="24"/>
      <c r="B526" s="24"/>
      <c r="C526" s="24"/>
      <c r="D526" s="24"/>
      <c r="E526" s="24"/>
      <c r="F526" s="24"/>
      <c r="G526" s="24"/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</row>
    <row r="527" spans="1:26" ht="15.75" customHeight="1">
      <c r="A527" s="24"/>
      <c r="B527" s="24"/>
      <c r="C527" s="24"/>
      <c r="D527" s="24"/>
      <c r="E527" s="24"/>
      <c r="F527" s="24"/>
      <c r="G527" s="24"/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</row>
    <row r="528" spans="1:26" ht="15.75" customHeight="1">
      <c r="A528" s="24"/>
      <c r="B528" s="24"/>
      <c r="C528" s="24"/>
      <c r="D528" s="24"/>
      <c r="E528" s="24"/>
      <c r="F528" s="24"/>
      <c r="G528" s="24"/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</row>
    <row r="529" spans="1:26" ht="15.75" customHeight="1">
      <c r="A529" s="24"/>
      <c r="B529" s="24"/>
      <c r="C529" s="24"/>
      <c r="D529" s="24"/>
      <c r="E529" s="24"/>
      <c r="F529" s="24"/>
      <c r="G529" s="24"/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</row>
    <row r="530" spans="1:26" ht="15.75" customHeight="1">
      <c r="A530" s="24"/>
      <c r="B530" s="24"/>
      <c r="C530" s="24"/>
      <c r="D530" s="24"/>
      <c r="E530" s="24"/>
      <c r="F530" s="24"/>
      <c r="G530" s="24"/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</row>
    <row r="531" spans="1:26" ht="15.75" customHeight="1">
      <c r="A531" s="24"/>
      <c r="B531" s="24"/>
      <c r="C531" s="24"/>
      <c r="D531" s="24"/>
      <c r="E531" s="24"/>
      <c r="F531" s="24"/>
      <c r="G531" s="24"/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</row>
    <row r="532" spans="1:26" ht="15.75" customHeight="1">
      <c r="A532" s="24"/>
      <c r="B532" s="24"/>
      <c r="C532" s="24"/>
      <c r="D532" s="24"/>
      <c r="E532" s="24"/>
      <c r="F532" s="24"/>
      <c r="G532" s="24"/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</row>
    <row r="533" spans="1:26" ht="15.75" customHeight="1">
      <c r="A533" s="24"/>
      <c r="B533" s="24"/>
      <c r="C533" s="24"/>
      <c r="D533" s="24"/>
      <c r="E533" s="24"/>
      <c r="F533" s="24"/>
      <c r="G533" s="24"/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</row>
    <row r="534" spans="1:26" ht="15.75" customHeight="1">
      <c r="A534" s="24"/>
      <c r="B534" s="24"/>
      <c r="C534" s="24"/>
      <c r="D534" s="24"/>
      <c r="E534" s="24"/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</row>
    <row r="535" spans="1:26" ht="15.75" customHeight="1">
      <c r="A535" s="24"/>
      <c r="B535" s="24"/>
      <c r="C535" s="24"/>
      <c r="D535" s="24"/>
      <c r="E535" s="24"/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</row>
    <row r="536" spans="1:26" ht="15.75" customHeight="1">
      <c r="A536" s="24"/>
      <c r="B536" s="24"/>
      <c r="C536" s="24"/>
      <c r="D536" s="24"/>
      <c r="E536" s="24"/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</row>
    <row r="537" spans="1:26" ht="15.75" customHeight="1">
      <c r="A537" s="24"/>
      <c r="B537" s="24"/>
      <c r="C537" s="24"/>
      <c r="D537" s="24"/>
      <c r="E537" s="24"/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</row>
    <row r="538" spans="1:26" ht="15.75" customHeight="1">
      <c r="A538" s="24"/>
      <c r="B538" s="24"/>
      <c r="C538" s="24"/>
      <c r="D538" s="24"/>
      <c r="E538" s="24"/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</row>
    <row r="539" spans="1:26" ht="15.75" customHeight="1">
      <c r="A539" s="24"/>
      <c r="B539" s="24"/>
      <c r="C539" s="24"/>
      <c r="D539" s="24"/>
      <c r="E539" s="24"/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</row>
    <row r="540" spans="1:26" ht="15.75" customHeight="1">
      <c r="A540" s="24"/>
      <c r="B540" s="24"/>
      <c r="C540" s="24"/>
      <c r="D540" s="24"/>
      <c r="E540" s="24"/>
      <c r="F540" s="24"/>
      <c r="G540" s="24"/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</row>
    <row r="541" spans="1:26" ht="15.75" customHeight="1">
      <c r="A541" s="24"/>
      <c r="B541" s="24"/>
      <c r="C541" s="24"/>
      <c r="D541" s="24"/>
      <c r="E541" s="24"/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</row>
    <row r="542" spans="1:26" ht="15.75" customHeight="1">
      <c r="A542" s="24"/>
      <c r="B542" s="24"/>
      <c r="C542" s="24"/>
      <c r="D542" s="24"/>
      <c r="E542" s="24"/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</row>
    <row r="543" spans="1:26" ht="15.75" customHeight="1">
      <c r="A543" s="24"/>
      <c r="B543" s="24"/>
      <c r="C543" s="24"/>
      <c r="D543" s="24"/>
      <c r="E543" s="24"/>
      <c r="F543" s="24"/>
      <c r="G543" s="24"/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</row>
    <row r="544" spans="1:26" ht="15.75" customHeight="1">
      <c r="A544" s="24"/>
      <c r="B544" s="24"/>
      <c r="C544" s="24"/>
      <c r="D544" s="24"/>
      <c r="E544" s="24"/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</row>
    <row r="545" spans="1:26" ht="15.75" customHeight="1">
      <c r="A545" s="24"/>
      <c r="B545" s="24"/>
      <c r="C545" s="24"/>
      <c r="D545" s="24"/>
      <c r="E545" s="24"/>
      <c r="F545" s="24"/>
      <c r="G545" s="24"/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</row>
    <row r="546" spans="1:26" ht="15.75" customHeight="1">
      <c r="A546" s="24"/>
      <c r="B546" s="24"/>
      <c r="C546" s="24"/>
      <c r="D546" s="24"/>
      <c r="E546" s="24"/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</row>
    <row r="547" spans="1:26" ht="15.75" customHeight="1">
      <c r="A547" s="24"/>
      <c r="B547" s="24"/>
      <c r="C547" s="24"/>
      <c r="D547" s="24"/>
      <c r="E547" s="24"/>
      <c r="F547" s="24"/>
      <c r="G547" s="24"/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</row>
    <row r="548" spans="1:26" ht="15.75" customHeight="1">
      <c r="A548" s="24"/>
      <c r="B548" s="24"/>
      <c r="C548" s="24"/>
      <c r="D548" s="24"/>
      <c r="E548" s="24"/>
      <c r="F548" s="24"/>
      <c r="G548" s="24"/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</row>
    <row r="549" spans="1:26" ht="15.75" customHeight="1">
      <c r="A549" s="24"/>
      <c r="B549" s="24"/>
      <c r="C549" s="24"/>
      <c r="D549" s="24"/>
      <c r="E549" s="24"/>
      <c r="F549" s="24"/>
      <c r="G549" s="24"/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</row>
    <row r="550" spans="1:26" ht="15.75" customHeight="1">
      <c r="A550" s="24"/>
      <c r="B550" s="24"/>
      <c r="C550" s="24"/>
      <c r="D550" s="24"/>
      <c r="E550" s="24"/>
      <c r="F550" s="24"/>
      <c r="G550" s="24"/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</row>
    <row r="551" spans="1:26" ht="15.75" customHeight="1">
      <c r="A551" s="24"/>
      <c r="B551" s="24"/>
      <c r="C551" s="24"/>
      <c r="D551" s="24"/>
      <c r="E551" s="24"/>
      <c r="F551" s="24"/>
      <c r="G551" s="24"/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</row>
    <row r="552" spans="1:26" ht="15.75" customHeight="1">
      <c r="A552" s="24"/>
      <c r="B552" s="24"/>
      <c r="C552" s="24"/>
      <c r="D552" s="24"/>
      <c r="E552" s="24"/>
      <c r="F552" s="24"/>
      <c r="G552" s="24"/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</row>
    <row r="553" spans="1:26" ht="15.75" customHeight="1">
      <c r="A553" s="24"/>
      <c r="B553" s="24"/>
      <c r="C553" s="24"/>
      <c r="D553" s="24"/>
      <c r="E553" s="24"/>
      <c r="F553" s="24"/>
      <c r="G553" s="24"/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</row>
    <row r="554" spans="1:26" ht="15.75" customHeight="1">
      <c r="A554" s="24"/>
      <c r="B554" s="24"/>
      <c r="C554" s="24"/>
      <c r="D554" s="24"/>
      <c r="E554" s="24"/>
      <c r="F554" s="24"/>
      <c r="G554" s="24"/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</row>
    <row r="555" spans="1:26" ht="15.75" customHeight="1">
      <c r="A555" s="24"/>
      <c r="B555" s="24"/>
      <c r="C555" s="24"/>
      <c r="D555" s="24"/>
      <c r="E555" s="24"/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</row>
    <row r="556" spans="1:26" ht="15.75" customHeight="1">
      <c r="A556" s="24"/>
      <c r="B556" s="24"/>
      <c r="C556" s="24"/>
      <c r="D556" s="24"/>
      <c r="E556" s="24"/>
      <c r="F556" s="24"/>
      <c r="G556" s="24"/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</row>
    <row r="557" spans="1:26" ht="15.75" customHeight="1">
      <c r="A557" s="24"/>
      <c r="B557" s="24"/>
      <c r="C557" s="24"/>
      <c r="D557" s="24"/>
      <c r="E557" s="24"/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</row>
    <row r="558" spans="1:26" ht="15.75" customHeight="1">
      <c r="A558" s="24"/>
      <c r="B558" s="24"/>
      <c r="C558" s="24"/>
      <c r="D558" s="24"/>
      <c r="E558" s="24"/>
      <c r="F558" s="24"/>
      <c r="G558" s="24"/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</row>
    <row r="559" spans="1:26" ht="15.75" customHeight="1">
      <c r="A559" s="24"/>
      <c r="B559" s="24"/>
      <c r="C559" s="24"/>
      <c r="D559" s="24"/>
      <c r="E559" s="24"/>
      <c r="F559" s="24"/>
      <c r="G559" s="24"/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</row>
    <row r="560" spans="1:26" ht="15.75" customHeight="1">
      <c r="A560" s="24"/>
      <c r="B560" s="24"/>
      <c r="C560" s="24"/>
      <c r="D560" s="24"/>
      <c r="E560" s="24"/>
      <c r="F560" s="24"/>
      <c r="G560" s="24"/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</row>
    <row r="561" spans="1:26" ht="15.75" customHeight="1">
      <c r="A561" s="24"/>
      <c r="B561" s="24"/>
      <c r="C561" s="24"/>
      <c r="D561" s="24"/>
      <c r="E561" s="24"/>
      <c r="F561" s="24"/>
      <c r="G561" s="24"/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</row>
    <row r="562" spans="1:26" ht="15.75" customHeight="1">
      <c r="A562" s="24"/>
      <c r="B562" s="24"/>
      <c r="C562" s="24"/>
      <c r="D562" s="24"/>
      <c r="E562" s="24"/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</row>
    <row r="563" spans="1:26" ht="15.75" customHeight="1">
      <c r="A563" s="24"/>
      <c r="B563" s="24"/>
      <c r="C563" s="24"/>
      <c r="D563" s="24"/>
      <c r="E563" s="24"/>
      <c r="F563" s="24"/>
      <c r="G563" s="24"/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</row>
    <row r="564" spans="1:26" ht="15.75" customHeight="1">
      <c r="A564" s="24"/>
      <c r="B564" s="24"/>
      <c r="C564" s="24"/>
      <c r="D564" s="24"/>
      <c r="E564" s="24"/>
      <c r="F564" s="24"/>
      <c r="G564" s="24"/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</row>
    <row r="565" spans="1:26" ht="15.75" customHeight="1">
      <c r="A565" s="24"/>
      <c r="B565" s="24"/>
      <c r="C565" s="24"/>
      <c r="D565" s="24"/>
      <c r="E565" s="24"/>
      <c r="F565" s="24"/>
      <c r="G565" s="24"/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</row>
    <row r="566" spans="1:26" ht="15.75" customHeight="1">
      <c r="A566" s="24"/>
      <c r="B566" s="24"/>
      <c r="C566" s="24"/>
      <c r="D566" s="24"/>
      <c r="E566" s="24"/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</row>
    <row r="567" spans="1:26" ht="15.75" customHeight="1">
      <c r="A567" s="24"/>
      <c r="B567" s="24"/>
      <c r="C567" s="24"/>
      <c r="D567" s="24"/>
      <c r="E567" s="24"/>
      <c r="F567" s="24"/>
      <c r="G567" s="24"/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</row>
    <row r="568" spans="1:26" ht="15.75" customHeight="1">
      <c r="A568" s="24"/>
      <c r="B568" s="24"/>
      <c r="C568" s="24"/>
      <c r="D568" s="24"/>
      <c r="E568" s="24"/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</row>
    <row r="569" spans="1:26" ht="15.75" customHeight="1">
      <c r="A569" s="24"/>
      <c r="B569" s="24"/>
      <c r="C569" s="24"/>
      <c r="D569" s="24"/>
      <c r="E569" s="24"/>
      <c r="F569" s="24"/>
      <c r="G569" s="24"/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</row>
    <row r="570" spans="1:26" ht="15.75" customHeight="1">
      <c r="A570" s="24"/>
      <c r="B570" s="24"/>
      <c r="C570" s="24"/>
      <c r="D570" s="24"/>
      <c r="E570" s="24"/>
      <c r="F570" s="24"/>
      <c r="G570" s="24"/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</row>
    <row r="571" spans="1:26" ht="15.75" customHeight="1">
      <c r="A571" s="24"/>
      <c r="B571" s="24"/>
      <c r="C571" s="24"/>
      <c r="D571" s="24"/>
      <c r="E571" s="24"/>
      <c r="F571" s="24"/>
      <c r="G571" s="24"/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</row>
    <row r="572" spans="1:26" ht="15.75" customHeight="1">
      <c r="A572" s="24"/>
      <c r="B572" s="24"/>
      <c r="C572" s="24"/>
      <c r="D572" s="24"/>
      <c r="E572" s="24"/>
      <c r="F572" s="24"/>
      <c r="G572" s="24"/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</row>
    <row r="573" spans="1:26" ht="15.75" customHeight="1">
      <c r="A573" s="24"/>
      <c r="B573" s="24"/>
      <c r="C573" s="24"/>
      <c r="D573" s="24"/>
      <c r="E573" s="24"/>
      <c r="F573" s="24"/>
      <c r="G573" s="24"/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</row>
    <row r="574" spans="1:26" ht="15.75" customHeight="1">
      <c r="A574" s="24"/>
      <c r="B574" s="24"/>
      <c r="C574" s="24"/>
      <c r="D574" s="24"/>
      <c r="E574" s="24"/>
      <c r="F574" s="24"/>
      <c r="G574" s="24"/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</row>
    <row r="575" spans="1:26" ht="15.75" customHeight="1">
      <c r="A575" s="24"/>
      <c r="B575" s="24"/>
      <c r="C575" s="24"/>
      <c r="D575" s="24"/>
      <c r="E575" s="24"/>
      <c r="F575" s="24"/>
      <c r="G575" s="24"/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</row>
    <row r="576" spans="1:26" ht="15.75" customHeight="1">
      <c r="A576" s="24"/>
      <c r="B576" s="24"/>
      <c r="C576" s="24"/>
      <c r="D576" s="24"/>
      <c r="E576" s="24"/>
      <c r="F576" s="24"/>
      <c r="G576" s="24"/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</row>
    <row r="577" spans="1:26" ht="15.75" customHeight="1">
      <c r="A577" s="24"/>
      <c r="B577" s="24"/>
      <c r="C577" s="24"/>
      <c r="D577" s="24"/>
      <c r="E577" s="24"/>
      <c r="F577" s="24"/>
      <c r="G577" s="24"/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</row>
    <row r="578" spans="1:26" ht="15.75" customHeight="1">
      <c r="A578" s="24"/>
      <c r="B578" s="24"/>
      <c r="C578" s="24"/>
      <c r="D578" s="24"/>
      <c r="E578" s="24"/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</row>
    <row r="579" spans="1:26" ht="15.75" customHeight="1">
      <c r="A579" s="24"/>
      <c r="B579" s="24"/>
      <c r="C579" s="24"/>
      <c r="D579" s="24"/>
      <c r="E579" s="24"/>
      <c r="F579" s="24"/>
      <c r="G579" s="24"/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</row>
    <row r="580" spans="1:26" ht="15.75" customHeight="1">
      <c r="A580" s="24"/>
      <c r="B580" s="24"/>
      <c r="C580" s="24"/>
      <c r="D580" s="24"/>
      <c r="E580" s="24"/>
      <c r="F580" s="24"/>
      <c r="G580" s="24"/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</row>
    <row r="581" spans="1:26" ht="15.75" customHeight="1">
      <c r="A581" s="24"/>
      <c r="B581" s="24"/>
      <c r="C581" s="24"/>
      <c r="D581" s="24"/>
      <c r="E581" s="24"/>
      <c r="F581" s="24"/>
      <c r="G581" s="24"/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</row>
    <row r="582" spans="1:26" ht="15.75" customHeight="1">
      <c r="A582" s="24"/>
      <c r="B582" s="24"/>
      <c r="C582" s="24"/>
      <c r="D582" s="24"/>
      <c r="E582" s="24"/>
      <c r="F582" s="24"/>
      <c r="G582" s="24"/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</row>
    <row r="583" spans="1:26" ht="15.75" customHeight="1">
      <c r="A583" s="24"/>
      <c r="B583" s="24"/>
      <c r="C583" s="24"/>
      <c r="D583" s="24"/>
      <c r="E583" s="24"/>
      <c r="F583" s="24"/>
      <c r="G583" s="24"/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</row>
    <row r="584" spans="1:26" ht="15.75" customHeight="1">
      <c r="A584" s="24"/>
      <c r="B584" s="24"/>
      <c r="C584" s="24"/>
      <c r="D584" s="24"/>
      <c r="E584" s="24"/>
      <c r="F584" s="24"/>
      <c r="G584" s="24"/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</row>
    <row r="585" spans="1:26" ht="15.75" customHeight="1">
      <c r="A585" s="24"/>
      <c r="B585" s="24"/>
      <c r="C585" s="24"/>
      <c r="D585" s="24"/>
      <c r="E585" s="24"/>
      <c r="F585" s="24"/>
      <c r="G585" s="24"/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</row>
    <row r="586" spans="1:26" ht="15.75" customHeight="1">
      <c r="A586" s="24"/>
      <c r="B586" s="24"/>
      <c r="C586" s="24"/>
      <c r="D586" s="24"/>
      <c r="E586" s="24"/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</row>
    <row r="587" spans="1:26" ht="15.75" customHeight="1">
      <c r="A587" s="24"/>
      <c r="B587" s="24"/>
      <c r="C587" s="24"/>
      <c r="D587" s="24"/>
      <c r="E587" s="24"/>
      <c r="F587" s="24"/>
      <c r="G587" s="24"/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</row>
    <row r="588" spans="1:26" ht="15.75" customHeight="1">
      <c r="A588" s="24"/>
      <c r="B588" s="24"/>
      <c r="C588" s="24"/>
      <c r="D588" s="24"/>
      <c r="E588" s="24"/>
      <c r="F588" s="24"/>
      <c r="G588" s="24"/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</row>
    <row r="589" spans="1:26" ht="15.75" customHeight="1">
      <c r="A589" s="24"/>
      <c r="B589" s="24"/>
      <c r="C589" s="24"/>
      <c r="D589" s="24"/>
      <c r="E589" s="24"/>
      <c r="F589" s="24"/>
      <c r="G589" s="24"/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</row>
    <row r="590" spans="1:26" ht="15.75" customHeight="1">
      <c r="A590" s="24"/>
      <c r="B590" s="24"/>
      <c r="C590" s="24"/>
      <c r="D590" s="24"/>
      <c r="E590" s="24"/>
      <c r="F590" s="24"/>
      <c r="G590" s="24"/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</row>
    <row r="591" spans="1:26" ht="15.75" customHeight="1">
      <c r="A591" s="24"/>
      <c r="B591" s="24"/>
      <c r="C591" s="24"/>
      <c r="D591" s="24"/>
      <c r="E591" s="24"/>
      <c r="F591" s="24"/>
      <c r="G591" s="24"/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</row>
    <row r="592" spans="1:26" ht="15.75" customHeight="1">
      <c r="A592" s="24"/>
      <c r="B592" s="24"/>
      <c r="C592" s="24"/>
      <c r="D592" s="24"/>
      <c r="E592" s="24"/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</row>
    <row r="593" spans="1:26" ht="15.75" customHeight="1">
      <c r="A593" s="24"/>
      <c r="B593" s="24"/>
      <c r="C593" s="24"/>
      <c r="D593" s="24"/>
      <c r="E593" s="24"/>
      <c r="F593" s="24"/>
      <c r="G593" s="24"/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</row>
    <row r="594" spans="1:26" ht="15.75" customHeight="1">
      <c r="A594" s="24"/>
      <c r="B594" s="24"/>
      <c r="C594" s="24"/>
      <c r="D594" s="24"/>
      <c r="E594" s="24"/>
      <c r="F594" s="24"/>
      <c r="G594" s="24"/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</row>
    <row r="595" spans="1:26" ht="15.75" customHeight="1">
      <c r="A595" s="24"/>
      <c r="B595" s="24"/>
      <c r="C595" s="24"/>
      <c r="D595" s="24"/>
      <c r="E595" s="24"/>
      <c r="F595" s="24"/>
      <c r="G595" s="24"/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</row>
    <row r="596" spans="1:26" ht="15.75" customHeight="1">
      <c r="A596" s="24"/>
      <c r="B596" s="24"/>
      <c r="C596" s="24"/>
      <c r="D596" s="24"/>
      <c r="E596" s="24"/>
      <c r="F596" s="24"/>
      <c r="G596" s="24"/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</row>
    <row r="597" spans="1:26" ht="15.75" customHeight="1">
      <c r="A597" s="24"/>
      <c r="B597" s="24"/>
      <c r="C597" s="24"/>
      <c r="D597" s="24"/>
      <c r="E597" s="24"/>
      <c r="F597" s="24"/>
      <c r="G597" s="24"/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</row>
    <row r="598" spans="1:26" ht="15.75" customHeight="1">
      <c r="A598" s="24"/>
      <c r="B598" s="24"/>
      <c r="C598" s="24"/>
      <c r="D598" s="24"/>
      <c r="E598" s="24"/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</row>
    <row r="599" spans="1:26" ht="15.75" customHeight="1">
      <c r="A599" s="24"/>
      <c r="B599" s="24"/>
      <c r="C599" s="24"/>
      <c r="D599" s="24"/>
      <c r="E599" s="24"/>
      <c r="F599" s="24"/>
      <c r="G599" s="24"/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</row>
    <row r="600" spans="1:26" ht="15.75" customHeight="1">
      <c r="A600" s="24"/>
      <c r="B600" s="24"/>
      <c r="C600" s="24"/>
      <c r="D600" s="24"/>
      <c r="E600" s="24"/>
      <c r="F600" s="24"/>
      <c r="G600" s="24"/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</row>
    <row r="601" spans="1:26" ht="15.75" customHeight="1">
      <c r="A601" s="24"/>
      <c r="B601" s="24"/>
      <c r="C601" s="24"/>
      <c r="D601" s="24"/>
      <c r="E601" s="24"/>
      <c r="F601" s="24"/>
      <c r="G601" s="24"/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</row>
    <row r="602" spans="1:26" ht="15.75" customHeight="1">
      <c r="A602" s="24"/>
      <c r="B602" s="24"/>
      <c r="C602" s="24"/>
      <c r="D602" s="24"/>
      <c r="E602" s="24"/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</row>
    <row r="603" spans="1:26" ht="15.75" customHeight="1">
      <c r="A603" s="24"/>
      <c r="B603" s="24"/>
      <c r="C603" s="24"/>
      <c r="D603" s="24"/>
      <c r="E603" s="24"/>
      <c r="F603" s="24"/>
      <c r="G603" s="24"/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</row>
    <row r="604" spans="1:26" ht="15.75" customHeight="1">
      <c r="A604" s="24"/>
      <c r="B604" s="24"/>
      <c r="C604" s="24"/>
      <c r="D604" s="24"/>
      <c r="E604" s="24"/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</row>
    <row r="605" spans="1:26" ht="15.75" customHeight="1">
      <c r="A605" s="24"/>
      <c r="B605" s="24"/>
      <c r="C605" s="24"/>
      <c r="D605" s="24"/>
      <c r="E605" s="24"/>
      <c r="F605" s="24"/>
      <c r="G605" s="24"/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</row>
    <row r="606" spans="1:26" ht="15.75" customHeight="1">
      <c r="A606" s="24"/>
      <c r="B606" s="24"/>
      <c r="C606" s="24"/>
      <c r="D606" s="24"/>
      <c r="E606" s="24"/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</row>
    <row r="607" spans="1:26" ht="15.75" customHeight="1">
      <c r="A607" s="24"/>
      <c r="B607" s="24"/>
      <c r="C607" s="24"/>
      <c r="D607" s="24"/>
      <c r="E607" s="24"/>
      <c r="F607" s="24"/>
      <c r="G607" s="24"/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</row>
    <row r="608" spans="1:26" ht="15.75" customHeight="1">
      <c r="A608" s="24"/>
      <c r="B608" s="24"/>
      <c r="C608" s="24"/>
      <c r="D608" s="24"/>
      <c r="E608" s="24"/>
      <c r="F608" s="24"/>
      <c r="G608" s="24"/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</row>
    <row r="609" spans="1:26" ht="15.75" customHeight="1">
      <c r="A609" s="24"/>
      <c r="B609" s="24"/>
      <c r="C609" s="24"/>
      <c r="D609" s="24"/>
      <c r="E609" s="24"/>
      <c r="F609" s="24"/>
      <c r="G609" s="24"/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</row>
    <row r="610" spans="1:26" ht="15.75" customHeight="1">
      <c r="A610" s="24"/>
      <c r="B610" s="24"/>
      <c r="C610" s="24"/>
      <c r="D610" s="24"/>
      <c r="E610" s="24"/>
      <c r="F610" s="24"/>
      <c r="G610" s="24"/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</row>
    <row r="611" spans="1:26" ht="15.75" customHeight="1">
      <c r="A611" s="24"/>
      <c r="B611" s="24"/>
      <c r="C611" s="24"/>
      <c r="D611" s="24"/>
      <c r="E611" s="24"/>
      <c r="F611" s="24"/>
      <c r="G611" s="24"/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</row>
    <row r="612" spans="1:26" ht="15.75" customHeight="1">
      <c r="A612" s="24"/>
      <c r="B612" s="24"/>
      <c r="C612" s="24"/>
      <c r="D612" s="24"/>
      <c r="E612" s="24"/>
      <c r="F612" s="24"/>
      <c r="G612" s="24"/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</row>
    <row r="613" spans="1:26" ht="15.75" customHeight="1">
      <c r="A613" s="24"/>
      <c r="B613" s="24"/>
      <c r="C613" s="24"/>
      <c r="D613" s="24"/>
      <c r="E613" s="24"/>
      <c r="F613" s="24"/>
      <c r="G613" s="24"/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</row>
    <row r="614" spans="1:26" ht="15.75" customHeight="1">
      <c r="A614" s="24"/>
      <c r="B614" s="24"/>
      <c r="C614" s="24"/>
      <c r="D614" s="24"/>
      <c r="E614" s="24"/>
      <c r="F614" s="24"/>
      <c r="G614" s="24"/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</row>
    <row r="615" spans="1:26" ht="15.75" customHeight="1">
      <c r="A615" s="24"/>
      <c r="B615" s="24"/>
      <c r="C615" s="24"/>
      <c r="D615" s="24"/>
      <c r="E615" s="24"/>
      <c r="F615" s="24"/>
      <c r="G615" s="24"/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</row>
    <row r="616" spans="1:26" ht="15.75" customHeight="1">
      <c r="A616" s="24"/>
      <c r="B616" s="24"/>
      <c r="C616" s="24"/>
      <c r="D616" s="24"/>
      <c r="E616" s="24"/>
      <c r="F616" s="24"/>
      <c r="G616" s="24"/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</row>
    <row r="617" spans="1:26" ht="15.75" customHeight="1">
      <c r="A617" s="24"/>
      <c r="B617" s="24"/>
      <c r="C617" s="24"/>
      <c r="D617" s="24"/>
      <c r="E617" s="24"/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</row>
    <row r="618" spans="1:26" ht="15.75" customHeight="1">
      <c r="A618" s="24"/>
      <c r="B618" s="24"/>
      <c r="C618" s="24"/>
      <c r="D618" s="24"/>
      <c r="E618" s="24"/>
      <c r="F618" s="24"/>
      <c r="G618" s="24"/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</row>
    <row r="619" spans="1:26" ht="15.75" customHeight="1">
      <c r="A619" s="24"/>
      <c r="B619" s="24"/>
      <c r="C619" s="24"/>
      <c r="D619" s="24"/>
      <c r="E619" s="24"/>
      <c r="F619" s="24"/>
      <c r="G619" s="24"/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</row>
    <row r="620" spans="1:26" ht="15.75" customHeight="1">
      <c r="A620" s="24"/>
      <c r="B620" s="24"/>
      <c r="C620" s="24"/>
      <c r="D620" s="24"/>
      <c r="E620" s="24"/>
      <c r="F620" s="24"/>
      <c r="G620" s="24"/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</row>
    <row r="621" spans="1:26" ht="15.75" customHeight="1">
      <c r="A621" s="24"/>
      <c r="B621" s="24"/>
      <c r="C621" s="24"/>
      <c r="D621" s="24"/>
      <c r="E621" s="24"/>
      <c r="F621" s="24"/>
      <c r="G621" s="24"/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</row>
    <row r="622" spans="1:26" ht="15.75" customHeight="1">
      <c r="A622" s="24"/>
      <c r="B622" s="24"/>
      <c r="C622" s="24"/>
      <c r="D622" s="24"/>
      <c r="E622" s="24"/>
      <c r="F622" s="24"/>
      <c r="G622" s="24"/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</row>
    <row r="623" spans="1:26" ht="15.75" customHeight="1">
      <c r="A623" s="24"/>
      <c r="B623" s="24"/>
      <c r="C623" s="24"/>
      <c r="D623" s="24"/>
      <c r="E623" s="24"/>
      <c r="F623" s="24"/>
      <c r="G623" s="24"/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</row>
    <row r="624" spans="1:26" ht="15.75" customHeight="1">
      <c r="A624" s="24"/>
      <c r="B624" s="24"/>
      <c r="C624" s="24"/>
      <c r="D624" s="24"/>
      <c r="E624" s="24"/>
      <c r="F624" s="24"/>
      <c r="G624" s="24"/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</row>
    <row r="625" spans="1:26" ht="15.75" customHeight="1">
      <c r="A625" s="24"/>
      <c r="B625" s="24"/>
      <c r="C625" s="24"/>
      <c r="D625" s="24"/>
      <c r="E625" s="24"/>
      <c r="F625" s="24"/>
      <c r="G625" s="24"/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</row>
    <row r="626" spans="1:26" ht="15.75" customHeight="1">
      <c r="A626" s="24"/>
      <c r="B626" s="24"/>
      <c r="C626" s="24"/>
      <c r="D626" s="24"/>
      <c r="E626" s="24"/>
      <c r="F626" s="24"/>
      <c r="G626" s="24"/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</row>
    <row r="627" spans="1:26" ht="15.75" customHeight="1">
      <c r="A627" s="24"/>
      <c r="B627" s="24"/>
      <c r="C627" s="24"/>
      <c r="D627" s="24"/>
      <c r="E627" s="24"/>
      <c r="F627" s="24"/>
      <c r="G627" s="24"/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</row>
    <row r="628" spans="1:26" ht="15.75" customHeight="1">
      <c r="A628" s="24"/>
      <c r="B628" s="24"/>
      <c r="C628" s="24"/>
      <c r="D628" s="24"/>
      <c r="E628" s="24"/>
      <c r="F628" s="24"/>
      <c r="G628" s="24"/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</row>
    <row r="629" spans="1:26" ht="15.75" customHeight="1">
      <c r="A629" s="24"/>
      <c r="B629" s="24"/>
      <c r="C629" s="24"/>
      <c r="D629" s="24"/>
      <c r="E629" s="24"/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</row>
    <row r="630" spans="1:26" ht="15.75" customHeight="1">
      <c r="A630" s="24"/>
      <c r="B630" s="24"/>
      <c r="C630" s="24"/>
      <c r="D630" s="24"/>
      <c r="E630" s="24"/>
      <c r="F630" s="24"/>
      <c r="G630" s="24"/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</row>
    <row r="631" spans="1:26" ht="15.75" customHeight="1">
      <c r="A631" s="24"/>
      <c r="B631" s="24"/>
      <c r="C631" s="24"/>
      <c r="D631" s="24"/>
      <c r="E631" s="24"/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</row>
    <row r="632" spans="1:26" ht="15.75" customHeight="1">
      <c r="A632" s="24"/>
      <c r="B632" s="24"/>
      <c r="C632" s="24"/>
      <c r="D632" s="24"/>
      <c r="E632" s="24"/>
      <c r="F632" s="24"/>
      <c r="G632" s="24"/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</row>
    <row r="633" spans="1:26" ht="15.75" customHeight="1">
      <c r="A633" s="24"/>
      <c r="B633" s="24"/>
      <c r="C633" s="24"/>
      <c r="D633" s="24"/>
      <c r="E633" s="24"/>
      <c r="F633" s="24"/>
      <c r="G633" s="24"/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</row>
    <row r="634" spans="1:26" ht="15.75" customHeight="1">
      <c r="A634" s="24"/>
      <c r="B634" s="24"/>
      <c r="C634" s="24"/>
      <c r="D634" s="24"/>
      <c r="E634" s="24"/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</row>
    <row r="635" spans="1:26" ht="15.75" customHeight="1">
      <c r="A635" s="24"/>
      <c r="B635" s="24"/>
      <c r="C635" s="24"/>
      <c r="D635" s="24"/>
      <c r="E635" s="24"/>
      <c r="F635" s="24"/>
      <c r="G635" s="24"/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</row>
    <row r="636" spans="1:26" ht="15.75" customHeight="1">
      <c r="A636" s="24"/>
      <c r="B636" s="24"/>
      <c r="C636" s="24"/>
      <c r="D636" s="24"/>
      <c r="E636" s="24"/>
      <c r="F636" s="24"/>
      <c r="G636" s="24"/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</row>
    <row r="637" spans="1:26" ht="15.75" customHeight="1">
      <c r="A637" s="24"/>
      <c r="B637" s="24"/>
      <c r="C637" s="24"/>
      <c r="D637" s="24"/>
      <c r="E637" s="24"/>
      <c r="F637" s="24"/>
      <c r="G637" s="24"/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</row>
    <row r="638" spans="1:26" ht="15.75" customHeight="1">
      <c r="A638" s="24"/>
      <c r="B638" s="24"/>
      <c r="C638" s="24"/>
      <c r="D638" s="24"/>
      <c r="E638" s="24"/>
      <c r="F638" s="24"/>
      <c r="G638" s="24"/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</row>
    <row r="639" spans="1:26" ht="15.75" customHeight="1">
      <c r="A639" s="24"/>
      <c r="B639" s="24"/>
      <c r="C639" s="24"/>
      <c r="D639" s="24"/>
      <c r="E639" s="24"/>
      <c r="F639" s="24"/>
      <c r="G639" s="24"/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</row>
    <row r="640" spans="1:26" ht="15.75" customHeight="1">
      <c r="A640" s="24"/>
      <c r="B640" s="24"/>
      <c r="C640" s="24"/>
      <c r="D640" s="24"/>
      <c r="E640" s="24"/>
      <c r="F640" s="24"/>
      <c r="G640" s="24"/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</row>
    <row r="641" spans="1:26" ht="15.75" customHeight="1">
      <c r="A641" s="24"/>
      <c r="B641" s="24"/>
      <c r="C641" s="24"/>
      <c r="D641" s="24"/>
      <c r="E641" s="24"/>
      <c r="F641" s="24"/>
      <c r="G641" s="24"/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</row>
    <row r="642" spans="1:26" ht="15.75" customHeight="1">
      <c r="A642" s="24"/>
      <c r="B642" s="24"/>
      <c r="C642" s="24"/>
      <c r="D642" s="24"/>
      <c r="E642" s="24"/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</row>
    <row r="643" spans="1:26" ht="15.75" customHeight="1">
      <c r="A643" s="24"/>
      <c r="B643" s="24"/>
      <c r="C643" s="24"/>
      <c r="D643" s="24"/>
      <c r="E643" s="24"/>
      <c r="F643" s="24"/>
      <c r="G643" s="24"/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</row>
    <row r="644" spans="1:26" ht="15.75" customHeight="1">
      <c r="A644" s="24"/>
      <c r="B644" s="24"/>
      <c r="C644" s="24"/>
      <c r="D644" s="24"/>
      <c r="E644" s="24"/>
      <c r="F644" s="24"/>
      <c r="G644" s="24"/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</row>
    <row r="645" spans="1:26" ht="15.75" customHeight="1">
      <c r="A645" s="24"/>
      <c r="B645" s="24"/>
      <c r="C645" s="24"/>
      <c r="D645" s="24"/>
      <c r="E645" s="24"/>
      <c r="F645" s="24"/>
      <c r="G645" s="24"/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</row>
    <row r="646" spans="1:26" ht="15.75" customHeight="1">
      <c r="A646" s="24"/>
      <c r="B646" s="24"/>
      <c r="C646" s="24"/>
      <c r="D646" s="24"/>
      <c r="E646" s="24"/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</row>
    <row r="647" spans="1:26" ht="15.75" customHeight="1">
      <c r="A647" s="24"/>
      <c r="B647" s="24"/>
      <c r="C647" s="24"/>
      <c r="D647" s="24"/>
      <c r="E647" s="24"/>
      <c r="F647" s="24"/>
      <c r="G647" s="24"/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</row>
    <row r="648" spans="1:26" ht="15.75" customHeight="1">
      <c r="A648" s="24"/>
      <c r="B648" s="24"/>
      <c r="C648" s="24"/>
      <c r="D648" s="24"/>
      <c r="E648" s="24"/>
      <c r="F648" s="24"/>
      <c r="G648" s="24"/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</row>
    <row r="649" spans="1:26" ht="15.75" customHeight="1">
      <c r="A649" s="24"/>
      <c r="B649" s="24"/>
      <c r="C649" s="24"/>
      <c r="D649" s="24"/>
      <c r="E649" s="24"/>
      <c r="F649" s="24"/>
      <c r="G649" s="24"/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</row>
    <row r="650" spans="1:26" ht="15.75" customHeight="1">
      <c r="A650" s="24"/>
      <c r="B650" s="24"/>
      <c r="C650" s="24"/>
      <c r="D650" s="24"/>
      <c r="E650" s="24"/>
      <c r="F650" s="24"/>
      <c r="G650" s="24"/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</row>
    <row r="651" spans="1:26" ht="15.75" customHeight="1">
      <c r="A651" s="24"/>
      <c r="B651" s="24"/>
      <c r="C651" s="24"/>
      <c r="D651" s="24"/>
      <c r="E651" s="24"/>
      <c r="F651" s="24"/>
      <c r="G651" s="24"/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</row>
    <row r="652" spans="1:26" ht="15.75" customHeight="1">
      <c r="A652" s="24"/>
      <c r="B652" s="24"/>
      <c r="C652" s="24"/>
      <c r="D652" s="24"/>
      <c r="E652" s="24"/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</row>
    <row r="653" spans="1:26" ht="15.75" customHeight="1">
      <c r="A653" s="24"/>
      <c r="B653" s="24"/>
      <c r="C653" s="24"/>
      <c r="D653" s="24"/>
      <c r="E653" s="24"/>
      <c r="F653" s="24"/>
      <c r="G653" s="24"/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</row>
    <row r="654" spans="1:26" ht="15.75" customHeight="1">
      <c r="A654" s="24"/>
      <c r="B654" s="24"/>
      <c r="C654" s="24"/>
      <c r="D654" s="24"/>
      <c r="E654" s="24"/>
      <c r="F654" s="24"/>
      <c r="G654" s="24"/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</row>
    <row r="655" spans="1:26" ht="15.75" customHeight="1">
      <c r="A655" s="24"/>
      <c r="B655" s="24"/>
      <c r="C655" s="24"/>
      <c r="D655" s="24"/>
      <c r="E655" s="24"/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</row>
    <row r="656" spans="1:26" ht="15.75" customHeight="1">
      <c r="A656" s="24"/>
      <c r="B656" s="24"/>
      <c r="C656" s="24"/>
      <c r="D656" s="24"/>
      <c r="E656" s="24"/>
      <c r="F656" s="24"/>
      <c r="G656" s="24"/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</row>
    <row r="657" spans="1:26" ht="15.75" customHeight="1">
      <c r="A657" s="24"/>
      <c r="B657" s="24"/>
      <c r="C657" s="24"/>
      <c r="D657" s="24"/>
      <c r="E657" s="24"/>
      <c r="F657" s="24"/>
      <c r="G657" s="24"/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</row>
    <row r="658" spans="1:26" ht="15.75" customHeight="1">
      <c r="A658" s="24"/>
      <c r="B658" s="24"/>
      <c r="C658" s="24"/>
      <c r="D658" s="24"/>
      <c r="E658" s="24"/>
      <c r="F658" s="24"/>
      <c r="G658" s="24"/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</row>
    <row r="659" spans="1:26" ht="15.75" customHeight="1">
      <c r="A659" s="24"/>
      <c r="B659" s="24"/>
      <c r="C659" s="24"/>
      <c r="D659" s="24"/>
      <c r="E659" s="24"/>
      <c r="F659" s="24"/>
      <c r="G659" s="24"/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</row>
    <row r="660" spans="1:26" ht="15.75" customHeight="1">
      <c r="A660" s="24"/>
      <c r="B660" s="24"/>
      <c r="C660" s="24"/>
      <c r="D660" s="24"/>
      <c r="E660" s="24"/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</row>
    <row r="661" spans="1:26" ht="15.75" customHeight="1">
      <c r="A661" s="24"/>
      <c r="B661" s="24"/>
      <c r="C661" s="24"/>
      <c r="D661" s="24"/>
      <c r="E661" s="24"/>
      <c r="F661" s="24"/>
      <c r="G661" s="24"/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</row>
    <row r="662" spans="1:26" ht="15.75" customHeight="1">
      <c r="A662" s="24"/>
      <c r="B662" s="24"/>
      <c r="C662" s="24"/>
      <c r="D662" s="24"/>
      <c r="E662" s="24"/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</row>
    <row r="663" spans="1:26" ht="15.75" customHeight="1">
      <c r="A663" s="24"/>
      <c r="B663" s="24"/>
      <c r="C663" s="24"/>
      <c r="D663" s="24"/>
      <c r="E663" s="24"/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</row>
    <row r="664" spans="1:26" ht="15.75" customHeight="1">
      <c r="A664" s="24"/>
      <c r="B664" s="24"/>
      <c r="C664" s="24"/>
      <c r="D664" s="24"/>
      <c r="E664" s="24"/>
      <c r="F664" s="24"/>
      <c r="G664" s="24"/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</row>
    <row r="665" spans="1:26" ht="15.75" customHeight="1">
      <c r="A665" s="24"/>
      <c r="B665" s="24"/>
      <c r="C665" s="24"/>
      <c r="D665" s="24"/>
      <c r="E665" s="24"/>
      <c r="F665" s="24"/>
      <c r="G665" s="24"/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</row>
    <row r="666" spans="1:26" ht="15.75" customHeight="1">
      <c r="A666" s="24"/>
      <c r="B666" s="24"/>
      <c r="C666" s="24"/>
      <c r="D666" s="24"/>
      <c r="E666" s="24"/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</row>
    <row r="667" spans="1:26" ht="15.75" customHeight="1">
      <c r="A667" s="24"/>
      <c r="B667" s="24"/>
      <c r="C667" s="24"/>
      <c r="D667" s="24"/>
      <c r="E667" s="24"/>
      <c r="F667" s="24"/>
      <c r="G667" s="24"/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</row>
    <row r="668" spans="1:26" ht="15.75" customHeight="1">
      <c r="A668" s="24"/>
      <c r="B668" s="24"/>
      <c r="C668" s="24"/>
      <c r="D668" s="24"/>
      <c r="E668" s="24"/>
      <c r="F668" s="24"/>
      <c r="G668" s="24"/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</row>
    <row r="669" spans="1:26" ht="15.75" customHeight="1">
      <c r="A669" s="24"/>
      <c r="B669" s="24"/>
      <c r="C669" s="24"/>
      <c r="D669" s="24"/>
      <c r="E669" s="24"/>
      <c r="F669" s="24"/>
      <c r="G669" s="24"/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</row>
    <row r="670" spans="1:26" ht="15.75" customHeight="1">
      <c r="A670" s="24"/>
      <c r="B670" s="24"/>
      <c r="C670" s="24"/>
      <c r="D670" s="24"/>
      <c r="E670" s="24"/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</row>
    <row r="671" spans="1:26" ht="15.75" customHeight="1">
      <c r="A671" s="24"/>
      <c r="B671" s="24"/>
      <c r="C671" s="24"/>
      <c r="D671" s="24"/>
      <c r="E671" s="24"/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</row>
    <row r="672" spans="1:26" ht="15.75" customHeight="1">
      <c r="A672" s="24"/>
      <c r="B672" s="24"/>
      <c r="C672" s="24"/>
      <c r="D672" s="24"/>
      <c r="E672" s="24"/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</row>
    <row r="673" spans="1:26" ht="15.75" customHeight="1">
      <c r="A673" s="24"/>
      <c r="B673" s="24"/>
      <c r="C673" s="24"/>
      <c r="D673" s="24"/>
      <c r="E673" s="24"/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</row>
    <row r="674" spans="1:26" ht="15.75" customHeight="1">
      <c r="A674" s="24"/>
      <c r="B674" s="24"/>
      <c r="C674" s="24"/>
      <c r="D674" s="24"/>
      <c r="E674" s="24"/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</row>
    <row r="675" spans="1:26" ht="15.75" customHeight="1">
      <c r="A675" s="24"/>
      <c r="B675" s="24"/>
      <c r="C675" s="24"/>
      <c r="D675" s="24"/>
      <c r="E675" s="24"/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</row>
    <row r="676" spans="1:26" ht="15.75" customHeight="1">
      <c r="A676" s="24"/>
      <c r="B676" s="24"/>
      <c r="C676" s="24"/>
      <c r="D676" s="24"/>
      <c r="E676" s="24"/>
      <c r="F676" s="24"/>
      <c r="G676" s="24"/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</row>
    <row r="677" spans="1:26" ht="15.75" customHeight="1">
      <c r="A677" s="24"/>
      <c r="B677" s="24"/>
      <c r="C677" s="24"/>
      <c r="D677" s="24"/>
      <c r="E677" s="24"/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</row>
    <row r="678" spans="1:26" ht="15.75" customHeight="1">
      <c r="A678" s="24"/>
      <c r="B678" s="24"/>
      <c r="C678" s="24"/>
      <c r="D678" s="24"/>
      <c r="E678" s="24"/>
      <c r="F678" s="24"/>
      <c r="G678" s="24"/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</row>
    <row r="679" spans="1:26" ht="15.75" customHeight="1">
      <c r="A679" s="24"/>
      <c r="B679" s="24"/>
      <c r="C679" s="24"/>
      <c r="D679" s="24"/>
      <c r="E679" s="24"/>
      <c r="F679" s="24"/>
      <c r="G679" s="24"/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</row>
    <row r="680" spans="1:26" ht="15.75" customHeight="1">
      <c r="A680" s="24"/>
      <c r="B680" s="24"/>
      <c r="C680" s="24"/>
      <c r="D680" s="24"/>
      <c r="E680" s="24"/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</row>
    <row r="681" spans="1:26" ht="15.75" customHeight="1">
      <c r="A681" s="24"/>
      <c r="B681" s="24"/>
      <c r="C681" s="24"/>
      <c r="D681" s="24"/>
      <c r="E681" s="24"/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</row>
    <row r="682" spans="1:26" ht="15.75" customHeight="1">
      <c r="A682" s="24"/>
      <c r="B682" s="24"/>
      <c r="C682" s="24"/>
      <c r="D682" s="24"/>
      <c r="E682" s="24"/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</row>
    <row r="683" spans="1:26" ht="15.75" customHeight="1">
      <c r="A683" s="24"/>
      <c r="B683" s="24"/>
      <c r="C683" s="24"/>
      <c r="D683" s="24"/>
      <c r="E683" s="24"/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</row>
    <row r="684" spans="1:26" ht="15.75" customHeight="1">
      <c r="A684" s="24"/>
      <c r="B684" s="24"/>
      <c r="C684" s="24"/>
      <c r="D684" s="24"/>
      <c r="E684" s="24"/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</row>
    <row r="685" spans="1:26" ht="15.75" customHeight="1">
      <c r="A685" s="24"/>
      <c r="B685" s="24"/>
      <c r="C685" s="24"/>
      <c r="D685" s="24"/>
      <c r="E685" s="24"/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</row>
    <row r="686" spans="1:26" ht="15.75" customHeight="1">
      <c r="A686" s="24"/>
      <c r="B686" s="24"/>
      <c r="C686" s="24"/>
      <c r="D686" s="24"/>
      <c r="E686" s="24"/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</row>
    <row r="687" spans="1:26" ht="15.75" customHeight="1">
      <c r="A687" s="24"/>
      <c r="B687" s="24"/>
      <c r="C687" s="24"/>
      <c r="D687" s="24"/>
      <c r="E687" s="24"/>
      <c r="F687" s="24"/>
      <c r="G687" s="24"/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</row>
    <row r="688" spans="1:26" ht="15.75" customHeight="1">
      <c r="A688" s="24"/>
      <c r="B688" s="24"/>
      <c r="C688" s="24"/>
      <c r="D688" s="24"/>
      <c r="E688" s="24"/>
      <c r="F688" s="24"/>
      <c r="G688" s="24"/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</row>
    <row r="689" spans="1:26" ht="15.75" customHeight="1">
      <c r="A689" s="24"/>
      <c r="B689" s="24"/>
      <c r="C689" s="24"/>
      <c r="D689" s="24"/>
      <c r="E689" s="24"/>
      <c r="F689" s="24"/>
      <c r="G689" s="24"/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</row>
    <row r="690" spans="1:26" ht="15.75" customHeight="1">
      <c r="A690" s="24"/>
      <c r="B690" s="24"/>
      <c r="C690" s="24"/>
      <c r="D690" s="24"/>
      <c r="E690" s="24"/>
      <c r="F690" s="24"/>
      <c r="G690" s="24"/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</row>
    <row r="691" spans="1:26" ht="15.75" customHeight="1">
      <c r="A691" s="24"/>
      <c r="B691" s="24"/>
      <c r="C691" s="24"/>
      <c r="D691" s="24"/>
      <c r="E691" s="24"/>
      <c r="F691" s="24"/>
      <c r="G691" s="24"/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</row>
    <row r="692" spans="1:26" ht="15.75" customHeight="1">
      <c r="A692" s="24"/>
      <c r="B692" s="24"/>
      <c r="C692" s="24"/>
      <c r="D692" s="24"/>
      <c r="E692" s="24"/>
      <c r="F692" s="24"/>
      <c r="G692" s="24"/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</row>
    <row r="693" spans="1:26" ht="15.75" customHeight="1">
      <c r="A693" s="24"/>
      <c r="B693" s="24"/>
      <c r="C693" s="24"/>
      <c r="D693" s="24"/>
      <c r="E693" s="24"/>
      <c r="F693" s="24"/>
      <c r="G693" s="24"/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</row>
    <row r="694" spans="1:26" ht="15.75" customHeight="1">
      <c r="A694" s="24"/>
      <c r="B694" s="24"/>
      <c r="C694" s="24"/>
      <c r="D694" s="24"/>
      <c r="E694" s="24"/>
      <c r="F694" s="24"/>
      <c r="G694" s="24"/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</row>
    <row r="695" spans="1:26" ht="15.75" customHeight="1">
      <c r="A695" s="24"/>
      <c r="B695" s="24"/>
      <c r="C695" s="24"/>
      <c r="D695" s="24"/>
      <c r="E695" s="24"/>
      <c r="F695" s="24"/>
      <c r="G695" s="24"/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</row>
    <row r="696" spans="1:26" ht="15.75" customHeight="1">
      <c r="A696" s="24"/>
      <c r="B696" s="24"/>
      <c r="C696" s="24"/>
      <c r="D696" s="24"/>
      <c r="E696" s="24"/>
      <c r="F696" s="24"/>
      <c r="G696" s="24"/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</row>
    <row r="697" spans="1:26" ht="15.75" customHeight="1">
      <c r="A697" s="24"/>
      <c r="B697" s="24"/>
      <c r="C697" s="24"/>
      <c r="D697" s="24"/>
      <c r="E697" s="24"/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</row>
    <row r="698" spans="1:26" ht="15.75" customHeight="1">
      <c r="A698" s="24"/>
      <c r="B698" s="24"/>
      <c r="C698" s="24"/>
      <c r="D698" s="24"/>
      <c r="E698" s="24"/>
      <c r="F698" s="24"/>
      <c r="G698" s="24"/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</row>
    <row r="699" spans="1:26" ht="15.75" customHeight="1">
      <c r="A699" s="24"/>
      <c r="B699" s="24"/>
      <c r="C699" s="24"/>
      <c r="D699" s="24"/>
      <c r="E699" s="24"/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</row>
    <row r="700" spans="1:26" ht="15.75" customHeight="1">
      <c r="A700" s="24"/>
      <c r="B700" s="24"/>
      <c r="C700" s="24"/>
      <c r="D700" s="24"/>
      <c r="E700" s="24"/>
      <c r="F700" s="24"/>
      <c r="G700" s="24"/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</row>
    <row r="701" spans="1:26" ht="15.75" customHeight="1">
      <c r="A701" s="24"/>
      <c r="B701" s="24"/>
      <c r="C701" s="24"/>
      <c r="D701" s="24"/>
      <c r="E701" s="24"/>
      <c r="F701" s="24"/>
      <c r="G701" s="24"/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</row>
    <row r="702" spans="1:26" ht="15.75" customHeight="1">
      <c r="A702" s="24"/>
      <c r="B702" s="24"/>
      <c r="C702" s="24"/>
      <c r="D702" s="24"/>
      <c r="E702" s="24"/>
      <c r="F702" s="24"/>
      <c r="G702" s="24"/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</row>
    <row r="703" spans="1:26" ht="15.75" customHeight="1">
      <c r="A703" s="24"/>
      <c r="B703" s="24"/>
      <c r="C703" s="24"/>
      <c r="D703" s="24"/>
      <c r="E703" s="24"/>
      <c r="F703" s="24"/>
      <c r="G703" s="24"/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</row>
    <row r="704" spans="1:26" ht="15.75" customHeight="1">
      <c r="A704" s="24"/>
      <c r="B704" s="24"/>
      <c r="C704" s="24"/>
      <c r="D704" s="24"/>
      <c r="E704" s="24"/>
      <c r="F704" s="24"/>
      <c r="G704" s="24"/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</row>
    <row r="705" spans="1:26" ht="15.75" customHeight="1">
      <c r="A705" s="24"/>
      <c r="B705" s="24"/>
      <c r="C705" s="24"/>
      <c r="D705" s="24"/>
      <c r="E705" s="24"/>
      <c r="F705" s="24"/>
      <c r="G705" s="24"/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</row>
    <row r="706" spans="1:26" ht="15.75" customHeight="1">
      <c r="A706" s="24"/>
      <c r="B706" s="24"/>
      <c r="C706" s="24"/>
      <c r="D706" s="24"/>
      <c r="E706" s="24"/>
      <c r="F706" s="24"/>
      <c r="G706" s="24"/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</row>
    <row r="707" spans="1:26" ht="15.75" customHeight="1">
      <c r="A707" s="24"/>
      <c r="B707" s="24"/>
      <c r="C707" s="24"/>
      <c r="D707" s="24"/>
      <c r="E707" s="24"/>
      <c r="F707" s="24"/>
      <c r="G707" s="24"/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</row>
    <row r="708" spans="1:26" ht="15.75" customHeight="1">
      <c r="A708" s="24"/>
      <c r="B708" s="24"/>
      <c r="C708" s="24"/>
      <c r="D708" s="24"/>
      <c r="E708" s="24"/>
      <c r="F708" s="24"/>
      <c r="G708" s="24"/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</row>
    <row r="709" spans="1:26" ht="15.75" customHeight="1">
      <c r="A709" s="24"/>
      <c r="B709" s="24"/>
      <c r="C709" s="24"/>
      <c r="D709" s="24"/>
      <c r="E709" s="24"/>
      <c r="F709" s="24"/>
      <c r="G709" s="24"/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</row>
    <row r="710" spans="1:26" ht="15.75" customHeight="1">
      <c r="A710" s="24"/>
      <c r="B710" s="24"/>
      <c r="C710" s="24"/>
      <c r="D710" s="24"/>
      <c r="E710" s="24"/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</row>
    <row r="711" spans="1:26" ht="15.75" customHeight="1">
      <c r="A711" s="24"/>
      <c r="B711" s="24"/>
      <c r="C711" s="24"/>
      <c r="D711" s="24"/>
      <c r="E711" s="24"/>
      <c r="F711" s="24"/>
      <c r="G711" s="24"/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</row>
    <row r="712" spans="1:26" ht="15.75" customHeight="1">
      <c r="A712" s="24"/>
      <c r="B712" s="24"/>
      <c r="C712" s="24"/>
      <c r="D712" s="24"/>
      <c r="E712" s="24"/>
      <c r="F712" s="24"/>
      <c r="G712" s="24"/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</row>
    <row r="713" spans="1:26" ht="15.75" customHeight="1">
      <c r="A713" s="24"/>
      <c r="B713" s="24"/>
      <c r="C713" s="24"/>
      <c r="D713" s="24"/>
      <c r="E713" s="24"/>
      <c r="F713" s="24"/>
      <c r="G713" s="24"/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</row>
    <row r="714" spans="1:26" ht="15.75" customHeight="1">
      <c r="A714" s="24"/>
      <c r="B714" s="24"/>
      <c r="C714" s="24"/>
      <c r="D714" s="24"/>
      <c r="E714" s="24"/>
      <c r="F714" s="24"/>
      <c r="G714" s="24"/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</row>
    <row r="715" spans="1:26" ht="15.75" customHeight="1">
      <c r="A715" s="24"/>
      <c r="B715" s="24"/>
      <c r="C715" s="24"/>
      <c r="D715" s="24"/>
      <c r="E715" s="24"/>
      <c r="F715" s="24"/>
      <c r="G715" s="24"/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</row>
    <row r="716" spans="1:26" ht="15.75" customHeight="1">
      <c r="A716" s="24"/>
      <c r="B716" s="24"/>
      <c r="C716" s="24"/>
      <c r="D716" s="24"/>
      <c r="E716" s="24"/>
      <c r="F716" s="24"/>
      <c r="G716" s="24"/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</row>
    <row r="717" spans="1:26" ht="15.75" customHeight="1">
      <c r="A717" s="24"/>
      <c r="B717" s="24"/>
      <c r="C717" s="24"/>
      <c r="D717" s="24"/>
      <c r="E717" s="24"/>
      <c r="F717" s="24"/>
      <c r="G717" s="24"/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</row>
    <row r="718" spans="1:26" ht="15.75" customHeight="1">
      <c r="A718" s="24"/>
      <c r="B718" s="24"/>
      <c r="C718" s="24"/>
      <c r="D718" s="24"/>
      <c r="E718" s="24"/>
      <c r="F718" s="24"/>
      <c r="G718" s="24"/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</row>
    <row r="719" spans="1:26" ht="15.75" customHeight="1">
      <c r="A719" s="24"/>
      <c r="B719" s="24"/>
      <c r="C719" s="24"/>
      <c r="D719" s="24"/>
      <c r="E719" s="24"/>
      <c r="F719" s="24"/>
      <c r="G719" s="24"/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</row>
    <row r="720" spans="1:26" ht="15.75" customHeight="1">
      <c r="A720" s="24"/>
      <c r="B720" s="24"/>
      <c r="C720" s="24"/>
      <c r="D720" s="24"/>
      <c r="E720" s="24"/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</row>
    <row r="721" spans="1:26" ht="15.75" customHeight="1">
      <c r="A721" s="24"/>
      <c r="B721" s="24"/>
      <c r="C721" s="24"/>
      <c r="D721" s="24"/>
      <c r="E721" s="24"/>
      <c r="F721" s="24"/>
      <c r="G721" s="24"/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</row>
    <row r="722" spans="1:26" ht="15.75" customHeight="1">
      <c r="A722" s="24"/>
      <c r="B722" s="24"/>
      <c r="C722" s="24"/>
      <c r="D722" s="24"/>
      <c r="E722" s="24"/>
      <c r="F722" s="24"/>
      <c r="G722" s="24"/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</row>
    <row r="723" spans="1:26" ht="15.75" customHeight="1">
      <c r="A723" s="24"/>
      <c r="B723" s="24"/>
      <c r="C723" s="24"/>
      <c r="D723" s="24"/>
      <c r="E723" s="24"/>
      <c r="F723" s="24"/>
      <c r="G723" s="24"/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</row>
    <row r="724" spans="1:26" ht="15.75" customHeight="1">
      <c r="A724" s="24"/>
      <c r="B724" s="24"/>
      <c r="C724" s="24"/>
      <c r="D724" s="24"/>
      <c r="E724" s="24"/>
      <c r="F724" s="24"/>
      <c r="G724" s="24"/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</row>
    <row r="725" spans="1:26" ht="15.75" customHeight="1">
      <c r="A725" s="24"/>
      <c r="B725" s="24"/>
      <c r="C725" s="24"/>
      <c r="D725" s="24"/>
      <c r="E725" s="24"/>
      <c r="F725" s="24"/>
      <c r="G725" s="24"/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</row>
    <row r="726" spans="1:26" ht="15.75" customHeight="1">
      <c r="A726" s="24"/>
      <c r="B726" s="24"/>
      <c r="C726" s="24"/>
      <c r="D726" s="24"/>
      <c r="E726" s="24"/>
      <c r="F726" s="24"/>
      <c r="G726" s="24"/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</row>
    <row r="727" spans="1:26" ht="15.75" customHeight="1">
      <c r="A727" s="24"/>
      <c r="B727" s="24"/>
      <c r="C727" s="24"/>
      <c r="D727" s="24"/>
      <c r="E727" s="24"/>
      <c r="F727" s="24"/>
      <c r="G727" s="24"/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</row>
    <row r="728" spans="1:26" ht="15.75" customHeight="1">
      <c r="A728" s="24"/>
      <c r="B728" s="24"/>
      <c r="C728" s="24"/>
      <c r="D728" s="24"/>
      <c r="E728" s="24"/>
      <c r="F728" s="24"/>
      <c r="G728" s="24"/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</row>
    <row r="729" spans="1:26" ht="15.75" customHeight="1">
      <c r="A729" s="24"/>
      <c r="B729" s="24"/>
      <c r="C729" s="24"/>
      <c r="D729" s="24"/>
      <c r="E729" s="24"/>
      <c r="F729" s="24"/>
      <c r="G729" s="24"/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</row>
    <row r="730" spans="1:26" ht="15.75" customHeight="1">
      <c r="A730" s="24"/>
      <c r="B730" s="24"/>
      <c r="C730" s="24"/>
      <c r="D730" s="24"/>
      <c r="E730" s="24"/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</row>
    <row r="731" spans="1:26" ht="15.75" customHeight="1">
      <c r="A731" s="24"/>
      <c r="B731" s="24"/>
      <c r="C731" s="24"/>
      <c r="D731" s="24"/>
      <c r="E731" s="24"/>
      <c r="F731" s="24"/>
      <c r="G731" s="24"/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</row>
    <row r="732" spans="1:26" ht="15.75" customHeight="1">
      <c r="A732" s="24"/>
      <c r="B732" s="24"/>
      <c r="C732" s="24"/>
      <c r="D732" s="24"/>
      <c r="E732" s="24"/>
      <c r="F732" s="24"/>
      <c r="G732" s="24"/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</row>
    <row r="733" spans="1:26" ht="15.75" customHeight="1">
      <c r="A733" s="24"/>
      <c r="B733" s="24"/>
      <c r="C733" s="24"/>
      <c r="D733" s="24"/>
      <c r="E733" s="24"/>
      <c r="F733" s="24"/>
      <c r="G733" s="24"/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</row>
    <row r="734" spans="1:26" ht="15.75" customHeight="1">
      <c r="A734" s="24"/>
      <c r="B734" s="24"/>
      <c r="C734" s="24"/>
      <c r="D734" s="24"/>
      <c r="E734" s="24"/>
      <c r="F734" s="24"/>
      <c r="G734" s="24"/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</row>
    <row r="735" spans="1:26" ht="15.75" customHeight="1">
      <c r="A735" s="24"/>
      <c r="B735" s="24"/>
      <c r="C735" s="24"/>
      <c r="D735" s="24"/>
      <c r="E735" s="24"/>
      <c r="F735" s="24"/>
      <c r="G735" s="24"/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</row>
    <row r="736" spans="1:26" ht="15.75" customHeight="1">
      <c r="A736" s="24"/>
      <c r="B736" s="24"/>
      <c r="C736" s="24"/>
      <c r="D736" s="24"/>
      <c r="E736" s="24"/>
      <c r="F736" s="24"/>
      <c r="G736" s="24"/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</row>
    <row r="737" spans="1:26" ht="15.75" customHeight="1">
      <c r="A737" s="24"/>
      <c r="B737" s="24"/>
      <c r="C737" s="24"/>
      <c r="D737" s="24"/>
      <c r="E737" s="24"/>
      <c r="F737" s="24"/>
      <c r="G737" s="24"/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</row>
    <row r="738" spans="1:26" ht="15.75" customHeight="1">
      <c r="A738" s="24"/>
      <c r="B738" s="24"/>
      <c r="C738" s="24"/>
      <c r="D738" s="24"/>
      <c r="E738" s="24"/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</row>
    <row r="739" spans="1:26" ht="15.75" customHeight="1">
      <c r="A739" s="24"/>
      <c r="B739" s="24"/>
      <c r="C739" s="24"/>
      <c r="D739" s="24"/>
      <c r="E739" s="24"/>
      <c r="F739" s="24"/>
      <c r="G739" s="24"/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</row>
    <row r="740" spans="1:26" ht="15.75" customHeight="1">
      <c r="A740" s="24"/>
      <c r="B740" s="24"/>
      <c r="C740" s="24"/>
      <c r="D740" s="24"/>
      <c r="E740" s="24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</row>
    <row r="741" spans="1:26" ht="15.75" customHeight="1">
      <c r="A741" s="24"/>
      <c r="B741" s="24"/>
      <c r="C741" s="24"/>
      <c r="D741" s="24"/>
      <c r="E741" s="24"/>
      <c r="F741" s="24"/>
      <c r="G741" s="24"/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</row>
    <row r="742" spans="1:26" ht="15.75" customHeight="1">
      <c r="A742" s="24"/>
      <c r="B742" s="24"/>
      <c r="C742" s="24"/>
      <c r="D742" s="24"/>
      <c r="E742" s="24"/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</row>
    <row r="743" spans="1:26" ht="15.75" customHeight="1">
      <c r="A743" s="24"/>
      <c r="B743" s="24"/>
      <c r="C743" s="24"/>
      <c r="D743" s="24"/>
      <c r="E743" s="24"/>
      <c r="F743" s="24"/>
      <c r="G743" s="24"/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</row>
    <row r="744" spans="1:26" ht="15.75" customHeight="1">
      <c r="A744" s="24"/>
      <c r="B744" s="24"/>
      <c r="C744" s="24"/>
      <c r="D744" s="24"/>
      <c r="E744" s="24"/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</row>
    <row r="745" spans="1:26" ht="15.75" customHeight="1">
      <c r="A745" s="24"/>
      <c r="B745" s="24"/>
      <c r="C745" s="24"/>
      <c r="D745" s="24"/>
      <c r="E745" s="24"/>
      <c r="F745" s="24"/>
      <c r="G745" s="24"/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</row>
    <row r="746" spans="1:26" ht="15.75" customHeight="1">
      <c r="A746" s="24"/>
      <c r="B746" s="24"/>
      <c r="C746" s="24"/>
      <c r="D746" s="24"/>
      <c r="E746" s="24"/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</row>
    <row r="747" spans="1:26" ht="15.75" customHeight="1">
      <c r="A747" s="24"/>
      <c r="B747" s="24"/>
      <c r="C747" s="24"/>
      <c r="D747" s="24"/>
      <c r="E747" s="24"/>
      <c r="F747" s="24"/>
      <c r="G747" s="24"/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</row>
    <row r="748" spans="1:26" ht="15.75" customHeight="1">
      <c r="A748" s="24"/>
      <c r="B748" s="24"/>
      <c r="C748" s="24"/>
      <c r="D748" s="24"/>
      <c r="E748" s="24"/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</row>
    <row r="749" spans="1:26" ht="15.75" customHeight="1">
      <c r="A749" s="24"/>
      <c r="B749" s="24"/>
      <c r="C749" s="24"/>
      <c r="D749" s="24"/>
      <c r="E749" s="24"/>
      <c r="F749" s="24"/>
      <c r="G749" s="24"/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</row>
    <row r="750" spans="1:26" ht="15.75" customHeight="1">
      <c r="A750" s="24"/>
      <c r="B750" s="24"/>
      <c r="C750" s="24"/>
      <c r="D750" s="24"/>
      <c r="E750" s="24"/>
      <c r="F750" s="24"/>
      <c r="G750" s="24"/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</row>
    <row r="751" spans="1:26" ht="15.75" customHeight="1">
      <c r="A751" s="24"/>
      <c r="B751" s="24"/>
      <c r="C751" s="24"/>
      <c r="D751" s="24"/>
      <c r="E751" s="24"/>
      <c r="F751" s="24"/>
      <c r="G751" s="24"/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</row>
    <row r="752" spans="1:26" ht="15.75" customHeight="1">
      <c r="A752" s="24"/>
      <c r="B752" s="24"/>
      <c r="C752" s="24"/>
      <c r="D752" s="24"/>
      <c r="E752" s="24"/>
      <c r="F752" s="24"/>
      <c r="G752" s="24"/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</row>
    <row r="753" spans="1:26" ht="15.75" customHeight="1">
      <c r="A753" s="24"/>
      <c r="B753" s="24"/>
      <c r="C753" s="24"/>
      <c r="D753" s="24"/>
      <c r="E753" s="24"/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</row>
    <row r="754" spans="1:26" ht="15.75" customHeight="1">
      <c r="A754" s="24"/>
      <c r="B754" s="24"/>
      <c r="C754" s="24"/>
      <c r="D754" s="24"/>
      <c r="E754" s="24"/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</row>
    <row r="755" spans="1:26" ht="15.75" customHeight="1">
      <c r="A755" s="24"/>
      <c r="B755" s="24"/>
      <c r="C755" s="24"/>
      <c r="D755" s="24"/>
      <c r="E755" s="24"/>
      <c r="F755" s="24"/>
      <c r="G755" s="24"/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</row>
    <row r="756" spans="1:26" ht="15.75" customHeight="1">
      <c r="A756" s="24"/>
      <c r="B756" s="24"/>
      <c r="C756" s="24"/>
      <c r="D756" s="24"/>
      <c r="E756" s="24"/>
      <c r="F756" s="24"/>
      <c r="G756" s="24"/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</row>
    <row r="757" spans="1:26" ht="15.75" customHeight="1">
      <c r="A757" s="24"/>
      <c r="B757" s="24"/>
      <c r="C757" s="24"/>
      <c r="D757" s="24"/>
      <c r="E757" s="24"/>
      <c r="F757" s="24"/>
      <c r="G757" s="24"/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</row>
    <row r="758" spans="1:26" ht="15.75" customHeight="1">
      <c r="A758" s="24"/>
      <c r="B758" s="24"/>
      <c r="C758" s="24"/>
      <c r="D758" s="24"/>
      <c r="E758" s="24"/>
      <c r="F758" s="24"/>
      <c r="G758" s="24"/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</row>
    <row r="759" spans="1:26" ht="15.75" customHeight="1">
      <c r="A759" s="24"/>
      <c r="B759" s="24"/>
      <c r="C759" s="24"/>
      <c r="D759" s="24"/>
      <c r="E759" s="24"/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</row>
    <row r="760" spans="1:26" ht="15.75" customHeight="1">
      <c r="A760" s="24"/>
      <c r="B760" s="24"/>
      <c r="C760" s="24"/>
      <c r="D760" s="24"/>
      <c r="E760" s="24"/>
      <c r="F760" s="24"/>
      <c r="G760" s="24"/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</row>
    <row r="761" spans="1:26" ht="15.75" customHeight="1">
      <c r="A761" s="24"/>
      <c r="B761" s="24"/>
      <c r="C761" s="24"/>
      <c r="D761" s="24"/>
      <c r="E761" s="24"/>
      <c r="F761" s="24"/>
      <c r="G761" s="24"/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</row>
    <row r="762" spans="1:26" ht="15.75" customHeight="1">
      <c r="A762" s="24"/>
      <c r="B762" s="24"/>
      <c r="C762" s="24"/>
      <c r="D762" s="24"/>
      <c r="E762" s="24"/>
      <c r="F762" s="24"/>
      <c r="G762" s="24"/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</row>
    <row r="763" spans="1:26" ht="15.75" customHeight="1">
      <c r="A763" s="24"/>
      <c r="B763" s="24"/>
      <c r="C763" s="24"/>
      <c r="D763" s="24"/>
      <c r="E763" s="24"/>
      <c r="F763" s="24"/>
      <c r="G763" s="24"/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</row>
    <row r="764" spans="1:26" ht="15.75" customHeight="1">
      <c r="A764" s="24"/>
      <c r="B764" s="24"/>
      <c r="C764" s="24"/>
      <c r="D764" s="24"/>
      <c r="E764" s="24"/>
      <c r="F764" s="24"/>
      <c r="G764" s="24"/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</row>
    <row r="765" spans="1:26" ht="15.75" customHeight="1">
      <c r="A765" s="24"/>
      <c r="B765" s="24"/>
      <c r="C765" s="24"/>
      <c r="D765" s="24"/>
      <c r="E765" s="24"/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</row>
    <row r="766" spans="1:26" ht="15.75" customHeight="1">
      <c r="A766" s="24"/>
      <c r="B766" s="24"/>
      <c r="C766" s="24"/>
      <c r="D766" s="24"/>
      <c r="E766" s="24"/>
      <c r="F766" s="24"/>
      <c r="G766" s="24"/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</row>
    <row r="767" spans="1:26" ht="15.75" customHeight="1">
      <c r="A767" s="24"/>
      <c r="B767" s="24"/>
      <c r="C767" s="24"/>
      <c r="D767" s="24"/>
      <c r="E767" s="24"/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</row>
    <row r="768" spans="1:26" ht="15.75" customHeight="1">
      <c r="A768" s="24"/>
      <c r="B768" s="24"/>
      <c r="C768" s="24"/>
      <c r="D768" s="24"/>
      <c r="E768" s="24"/>
      <c r="F768" s="24"/>
      <c r="G768" s="24"/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</row>
    <row r="769" spans="1:26" ht="15.75" customHeight="1">
      <c r="A769" s="24"/>
      <c r="B769" s="24"/>
      <c r="C769" s="24"/>
      <c r="D769" s="24"/>
      <c r="E769" s="24"/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</row>
    <row r="770" spans="1:26" ht="15.75" customHeight="1">
      <c r="A770" s="24"/>
      <c r="B770" s="24"/>
      <c r="C770" s="24"/>
      <c r="D770" s="24"/>
      <c r="E770" s="24"/>
      <c r="F770" s="24"/>
      <c r="G770" s="24"/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</row>
    <row r="771" spans="1:26" ht="15.75" customHeight="1">
      <c r="A771" s="24"/>
      <c r="B771" s="24"/>
      <c r="C771" s="24"/>
      <c r="D771" s="24"/>
      <c r="E771" s="24"/>
      <c r="F771" s="24"/>
      <c r="G771" s="24"/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</row>
    <row r="772" spans="1:26" ht="15.75" customHeight="1">
      <c r="A772" s="24"/>
      <c r="B772" s="24"/>
      <c r="C772" s="24"/>
      <c r="D772" s="24"/>
      <c r="E772" s="24"/>
      <c r="F772" s="24"/>
      <c r="G772" s="24"/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</row>
    <row r="773" spans="1:26" ht="15.75" customHeight="1">
      <c r="A773" s="24"/>
      <c r="B773" s="24"/>
      <c r="C773" s="24"/>
      <c r="D773" s="24"/>
      <c r="E773" s="24"/>
      <c r="F773" s="24"/>
      <c r="G773" s="24"/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</row>
    <row r="774" spans="1:26" ht="15.75" customHeight="1">
      <c r="A774" s="24"/>
      <c r="B774" s="24"/>
      <c r="C774" s="24"/>
      <c r="D774" s="24"/>
      <c r="E774" s="24"/>
      <c r="F774" s="24"/>
      <c r="G774" s="24"/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</row>
    <row r="775" spans="1:26" ht="15.75" customHeight="1">
      <c r="A775" s="24"/>
      <c r="B775" s="24"/>
      <c r="C775" s="24"/>
      <c r="D775" s="24"/>
      <c r="E775" s="24"/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</row>
    <row r="776" spans="1:26" ht="15.75" customHeight="1">
      <c r="A776" s="24"/>
      <c r="B776" s="24"/>
      <c r="C776" s="24"/>
      <c r="D776" s="24"/>
      <c r="E776" s="24"/>
      <c r="F776" s="24"/>
      <c r="G776" s="24"/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</row>
    <row r="777" spans="1:26" ht="15.75" customHeight="1">
      <c r="A777" s="24"/>
      <c r="B777" s="24"/>
      <c r="C777" s="24"/>
      <c r="D777" s="24"/>
      <c r="E777" s="24"/>
      <c r="F777" s="24"/>
      <c r="G777" s="24"/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</row>
    <row r="778" spans="1:26" ht="15.75" customHeight="1">
      <c r="A778" s="24"/>
      <c r="B778" s="24"/>
      <c r="C778" s="24"/>
      <c r="D778" s="24"/>
      <c r="E778" s="24"/>
      <c r="F778" s="24"/>
      <c r="G778" s="24"/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</row>
    <row r="779" spans="1:26" ht="15.75" customHeight="1">
      <c r="A779" s="24"/>
      <c r="B779" s="24"/>
      <c r="C779" s="24"/>
      <c r="D779" s="24"/>
      <c r="E779" s="24"/>
      <c r="F779" s="24"/>
      <c r="G779" s="24"/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</row>
    <row r="780" spans="1:26" ht="15.75" customHeight="1">
      <c r="A780" s="24"/>
      <c r="B780" s="24"/>
      <c r="C780" s="24"/>
      <c r="D780" s="24"/>
      <c r="E780" s="24"/>
      <c r="F780" s="24"/>
      <c r="G780" s="24"/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</row>
    <row r="781" spans="1:26" ht="15.75" customHeight="1">
      <c r="A781" s="24"/>
      <c r="B781" s="24"/>
      <c r="C781" s="24"/>
      <c r="D781" s="24"/>
      <c r="E781" s="24"/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</row>
    <row r="782" spans="1:26" ht="15.75" customHeight="1">
      <c r="A782" s="24"/>
      <c r="B782" s="24"/>
      <c r="C782" s="24"/>
      <c r="D782" s="24"/>
      <c r="E782" s="24"/>
      <c r="F782" s="24"/>
      <c r="G782" s="24"/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</row>
    <row r="783" spans="1:26" ht="15.75" customHeight="1">
      <c r="A783" s="24"/>
      <c r="B783" s="24"/>
      <c r="C783" s="24"/>
      <c r="D783" s="24"/>
      <c r="E783" s="24"/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</row>
    <row r="784" spans="1:26" ht="15.75" customHeight="1">
      <c r="A784" s="24"/>
      <c r="B784" s="24"/>
      <c r="C784" s="24"/>
      <c r="D784" s="24"/>
      <c r="E784" s="24"/>
      <c r="F784" s="24"/>
      <c r="G784" s="24"/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</row>
    <row r="785" spans="1:26" ht="15.75" customHeight="1">
      <c r="A785" s="24"/>
      <c r="B785" s="24"/>
      <c r="C785" s="24"/>
      <c r="D785" s="24"/>
      <c r="E785" s="24"/>
      <c r="F785" s="24"/>
      <c r="G785" s="24"/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</row>
    <row r="786" spans="1:26" ht="15.75" customHeight="1">
      <c r="A786" s="24"/>
      <c r="B786" s="24"/>
      <c r="C786" s="24"/>
      <c r="D786" s="24"/>
      <c r="E786" s="24"/>
      <c r="F786" s="24"/>
      <c r="G786" s="24"/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</row>
    <row r="787" spans="1:26" ht="15.75" customHeight="1">
      <c r="A787" s="24"/>
      <c r="B787" s="24"/>
      <c r="C787" s="24"/>
      <c r="D787" s="24"/>
      <c r="E787" s="24"/>
      <c r="F787" s="24"/>
      <c r="G787" s="24"/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</row>
    <row r="788" spans="1:26" ht="15.75" customHeight="1">
      <c r="A788" s="24"/>
      <c r="B788" s="24"/>
      <c r="C788" s="24"/>
      <c r="D788" s="24"/>
      <c r="E788" s="24"/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</row>
    <row r="789" spans="1:26" ht="15.75" customHeight="1">
      <c r="A789" s="24"/>
      <c r="B789" s="24"/>
      <c r="C789" s="24"/>
      <c r="D789" s="24"/>
      <c r="E789" s="24"/>
      <c r="F789" s="24"/>
      <c r="G789" s="24"/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</row>
    <row r="790" spans="1:26" ht="15.75" customHeight="1">
      <c r="A790" s="24"/>
      <c r="B790" s="24"/>
      <c r="C790" s="24"/>
      <c r="D790" s="24"/>
      <c r="E790" s="24"/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</row>
    <row r="791" spans="1:26" ht="15.75" customHeight="1">
      <c r="A791" s="24"/>
      <c r="B791" s="24"/>
      <c r="C791" s="24"/>
      <c r="D791" s="24"/>
      <c r="E791" s="24"/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</row>
    <row r="792" spans="1:26" ht="15.75" customHeight="1">
      <c r="A792" s="24"/>
      <c r="B792" s="24"/>
      <c r="C792" s="24"/>
      <c r="D792" s="24"/>
      <c r="E792" s="24"/>
      <c r="F792" s="24"/>
      <c r="G792" s="24"/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</row>
    <row r="793" spans="1:26" ht="15.75" customHeight="1">
      <c r="A793" s="24"/>
      <c r="B793" s="24"/>
      <c r="C793" s="24"/>
      <c r="D793" s="24"/>
      <c r="E793" s="24"/>
      <c r="F793" s="24"/>
      <c r="G793" s="24"/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</row>
    <row r="794" spans="1:26" ht="15.75" customHeight="1">
      <c r="A794" s="24"/>
      <c r="B794" s="24"/>
      <c r="C794" s="24"/>
      <c r="D794" s="24"/>
      <c r="E794" s="24"/>
      <c r="F794" s="24"/>
      <c r="G794" s="24"/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</row>
    <row r="795" spans="1:26" ht="15.75" customHeight="1">
      <c r="A795" s="24"/>
      <c r="B795" s="24"/>
      <c r="C795" s="24"/>
      <c r="D795" s="24"/>
      <c r="E795" s="24"/>
      <c r="F795" s="24"/>
      <c r="G795" s="24"/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</row>
    <row r="796" spans="1:26" ht="15.75" customHeight="1">
      <c r="A796" s="24"/>
      <c r="B796" s="24"/>
      <c r="C796" s="24"/>
      <c r="D796" s="24"/>
      <c r="E796" s="24"/>
      <c r="F796" s="24"/>
      <c r="G796" s="24"/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</row>
    <row r="797" spans="1:26" ht="15.75" customHeight="1">
      <c r="A797" s="24"/>
      <c r="B797" s="24"/>
      <c r="C797" s="24"/>
      <c r="D797" s="24"/>
      <c r="E797" s="24"/>
      <c r="F797" s="24"/>
      <c r="G797" s="24"/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</row>
    <row r="798" spans="1:26" ht="15.75" customHeight="1">
      <c r="A798" s="24"/>
      <c r="B798" s="24"/>
      <c r="C798" s="24"/>
      <c r="D798" s="24"/>
      <c r="E798" s="24"/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</row>
    <row r="799" spans="1:26" ht="15.75" customHeight="1">
      <c r="A799" s="24"/>
      <c r="B799" s="24"/>
      <c r="C799" s="24"/>
      <c r="D799" s="24"/>
      <c r="E799" s="24"/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</row>
    <row r="800" spans="1:26" ht="15.75" customHeight="1">
      <c r="A800" s="24"/>
      <c r="B800" s="24"/>
      <c r="C800" s="24"/>
      <c r="D800" s="24"/>
      <c r="E800" s="24"/>
      <c r="F800" s="24"/>
      <c r="G800" s="24"/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</row>
    <row r="801" spans="1:26" ht="15.75" customHeight="1">
      <c r="A801" s="24"/>
      <c r="B801" s="24"/>
      <c r="C801" s="24"/>
      <c r="D801" s="24"/>
      <c r="E801" s="24"/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</row>
    <row r="802" spans="1:26" ht="15.75" customHeight="1">
      <c r="A802" s="24"/>
      <c r="B802" s="24"/>
      <c r="C802" s="24"/>
      <c r="D802" s="24"/>
      <c r="E802" s="24"/>
      <c r="F802" s="24"/>
      <c r="G802" s="24"/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</row>
    <row r="803" spans="1:26" ht="15.75" customHeight="1">
      <c r="A803" s="24"/>
      <c r="B803" s="24"/>
      <c r="C803" s="24"/>
      <c r="D803" s="24"/>
      <c r="E803" s="24"/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</row>
    <row r="804" spans="1:26" ht="15.75" customHeight="1">
      <c r="A804" s="24"/>
      <c r="B804" s="24"/>
      <c r="C804" s="24"/>
      <c r="D804" s="24"/>
      <c r="E804" s="24"/>
      <c r="F804" s="24"/>
      <c r="G804" s="24"/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</row>
    <row r="805" spans="1:26" ht="15.75" customHeight="1">
      <c r="A805" s="24"/>
      <c r="B805" s="24"/>
      <c r="C805" s="24"/>
      <c r="D805" s="24"/>
      <c r="E805" s="24"/>
      <c r="F805" s="24"/>
      <c r="G805" s="24"/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</row>
    <row r="806" spans="1:26" ht="15.75" customHeight="1">
      <c r="A806" s="24"/>
      <c r="B806" s="24"/>
      <c r="C806" s="24"/>
      <c r="D806" s="24"/>
      <c r="E806" s="24"/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</row>
    <row r="807" spans="1:26" ht="15.75" customHeight="1">
      <c r="A807" s="24"/>
      <c r="B807" s="24"/>
      <c r="C807" s="24"/>
      <c r="D807" s="24"/>
      <c r="E807" s="24"/>
      <c r="F807" s="24"/>
      <c r="G807" s="24"/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</row>
    <row r="808" spans="1:26" ht="15.75" customHeight="1">
      <c r="A808" s="24"/>
      <c r="B808" s="24"/>
      <c r="C808" s="24"/>
      <c r="D808" s="24"/>
      <c r="E808" s="24"/>
      <c r="F808" s="24"/>
      <c r="G808" s="24"/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</row>
    <row r="809" spans="1:26" ht="15.75" customHeight="1">
      <c r="A809" s="24"/>
      <c r="B809" s="24"/>
      <c r="C809" s="24"/>
      <c r="D809" s="24"/>
      <c r="E809" s="24"/>
      <c r="F809" s="24"/>
      <c r="G809" s="24"/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</row>
    <row r="810" spans="1:26" ht="15.75" customHeight="1">
      <c r="A810" s="24"/>
      <c r="B810" s="24"/>
      <c r="C810" s="24"/>
      <c r="D810" s="24"/>
      <c r="E810" s="24"/>
      <c r="F810" s="24"/>
      <c r="G810" s="24"/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</row>
    <row r="811" spans="1:26" ht="15.75" customHeight="1">
      <c r="A811" s="24"/>
      <c r="B811" s="24"/>
      <c r="C811" s="24"/>
      <c r="D811" s="24"/>
      <c r="E811" s="24"/>
      <c r="F811" s="24"/>
      <c r="G811" s="24"/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</row>
    <row r="812" spans="1:26" ht="15.75" customHeight="1">
      <c r="A812" s="24"/>
      <c r="B812" s="24"/>
      <c r="C812" s="24"/>
      <c r="D812" s="24"/>
      <c r="E812" s="24"/>
      <c r="F812" s="24"/>
      <c r="G812" s="24"/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</row>
    <row r="813" spans="1:26" ht="15.75" customHeight="1">
      <c r="A813" s="24"/>
      <c r="B813" s="24"/>
      <c r="C813" s="24"/>
      <c r="D813" s="24"/>
      <c r="E813" s="24"/>
      <c r="F813" s="24"/>
      <c r="G813" s="24"/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</row>
    <row r="814" spans="1:26" ht="15.75" customHeight="1">
      <c r="A814" s="24"/>
      <c r="B814" s="24"/>
      <c r="C814" s="24"/>
      <c r="D814" s="24"/>
      <c r="E814" s="24"/>
      <c r="F814" s="24"/>
      <c r="G814" s="24"/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</row>
    <row r="815" spans="1:26" ht="15.75" customHeight="1">
      <c r="A815" s="24"/>
      <c r="B815" s="24"/>
      <c r="C815" s="24"/>
      <c r="D815" s="24"/>
      <c r="E815" s="24"/>
      <c r="F815" s="24"/>
      <c r="G815" s="24"/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</row>
    <row r="816" spans="1:26" ht="15.75" customHeight="1">
      <c r="A816" s="24"/>
      <c r="B816" s="24"/>
      <c r="C816" s="24"/>
      <c r="D816" s="24"/>
      <c r="E816" s="24"/>
      <c r="F816" s="24"/>
      <c r="G816" s="24"/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</row>
    <row r="817" spans="1:26" ht="15.75" customHeight="1">
      <c r="A817" s="24"/>
      <c r="B817" s="24"/>
      <c r="C817" s="24"/>
      <c r="D817" s="24"/>
      <c r="E817" s="24"/>
      <c r="F817" s="24"/>
      <c r="G817" s="24"/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</row>
    <row r="818" spans="1:26" ht="15.75" customHeight="1">
      <c r="A818" s="24"/>
      <c r="B818" s="24"/>
      <c r="C818" s="24"/>
      <c r="D818" s="24"/>
      <c r="E818" s="24"/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</row>
    <row r="819" spans="1:26" ht="15.75" customHeight="1">
      <c r="A819" s="24"/>
      <c r="B819" s="24"/>
      <c r="C819" s="24"/>
      <c r="D819" s="24"/>
      <c r="E819" s="24"/>
      <c r="F819" s="24"/>
      <c r="G819" s="24"/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</row>
    <row r="820" spans="1:26" ht="15.75" customHeight="1">
      <c r="A820" s="24"/>
      <c r="B820" s="24"/>
      <c r="C820" s="24"/>
      <c r="D820" s="24"/>
      <c r="E820" s="24"/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</row>
    <row r="821" spans="1:26" ht="15.75" customHeight="1">
      <c r="A821" s="24"/>
      <c r="B821" s="24"/>
      <c r="C821" s="24"/>
      <c r="D821" s="24"/>
      <c r="E821" s="24"/>
      <c r="F821" s="24"/>
      <c r="G821" s="24"/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</row>
    <row r="822" spans="1:26" ht="15.75" customHeight="1">
      <c r="A822" s="24"/>
      <c r="B822" s="24"/>
      <c r="C822" s="24"/>
      <c r="D822" s="24"/>
      <c r="E822" s="24"/>
      <c r="F822" s="24"/>
      <c r="G822" s="24"/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</row>
    <row r="823" spans="1:26" ht="15.75" customHeight="1">
      <c r="A823" s="24"/>
      <c r="B823" s="24"/>
      <c r="C823" s="24"/>
      <c r="D823" s="24"/>
      <c r="E823" s="24"/>
      <c r="F823" s="24"/>
      <c r="G823" s="24"/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</row>
    <row r="824" spans="1:26" ht="15.75" customHeight="1">
      <c r="A824" s="24"/>
      <c r="B824" s="24"/>
      <c r="C824" s="24"/>
      <c r="D824" s="24"/>
      <c r="E824" s="24"/>
      <c r="F824" s="24"/>
      <c r="G824" s="24"/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</row>
    <row r="825" spans="1:26" ht="15.75" customHeight="1">
      <c r="A825" s="24"/>
      <c r="B825" s="24"/>
      <c r="C825" s="24"/>
      <c r="D825" s="24"/>
      <c r="E825" s="24"/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</row>
    <row r="826" spans="1:26" ht="15.75" customHeight="1">
      <c r="A826" s="24"/>
      <c r="B826" s="24"/>
      <c r="C826" s="24"/>
      <c r="D826" s="24"/>
      <c r="E826" s="24"/>
      <c r="F826" s="24"/>
      <c r="G826" s="24"/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</row>
    <row r="827" spans="1:26" ht="15.75" customHeight="1">
      <c r="A827" s="24"/>
      <c r="B827" s="24"/>
      <c r="C827" s="24"/>
      <c r="D827" s="24"/>
      <c r="E827" s="24"/>
      <c r="F827" s="24"/>
      <c r="G827" s="24"/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</row>
    <row r="828" spans="1:26" ht="15.75" customHeight="1">
      <c r="A828" s="24"/>
      <c r="B828" s="24"/>
      <c r="C828" s="24"/>
      <c r="D828" s="24"/>
      <c r="E828" s="24"/>
      <c r="F828" s="24"/>
      <c r="G828" s="24"/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</row>
    <row r="829" spans="1:26" ht="15.75" customHeight="1">
      <c r="A829" s="24"/>
      <c r="B829" s="24"/>
      <c r="C829" s="24"/>
      <c r="D829" s="24"/>
      <c r="E829" s="24"/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</row>
    <row r="830" spans="1:26" ht="15.75" customHeight="1">
      <c r="A830" s="24"/>
      <c r="B830" s="24"/>
      <c r="C830" s="24"/>
      <c r="D830" s="24"/>
      <c r="E830" s="24"/>
      <c r="F830" s="24"/>
      <c r="G830" s="24"/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</row>
    <row r="831" spans="1:26" ht="15.75" customHeight="1">
      <c r="A831" s="24"/>
      <c r="B831" s="24"/>
      <c r="C831" s="24"/>
      <c r="D831" s="24"/>
      <c r="E831" s="24"/>
      <c r="F831" s="24"/>
      <c r="G831" s="24"/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</row>
    <row r="832" spans="1:26" ht="15.75" customHeight="1">
      <c r="A832" s="24"/>
      <c r="B832" s="24"/>
      <c r="C832" s="24"/>
      <c r="D832" s="24"/>
      <c r="E832" s="24"/>
      <c r="F832" s="24"/>
      <c r="G832" s="24"/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</row>
    <row r="833" spans="1:26" ht="15.75" customHeight="1">
      <c r="A833" s="24"/>
      <c r="B833" s="24"/>
      <c r="C833" s="24"/>
      <c r="D833" s="24"/>
      <c r="E833" s="24"/>
      <c r="F833" s="24"/>
      <c r="G833" s="24"/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</row>
    <row r="834" spans="1:26" ht="15.75" customHeight="1">
      <c r="A834" s="24"/>
      <c r="B834" s="24"/>
      <c r="C834" s="24"/>
      <c r="D834" s="24"/>
      <c r="E834" s="24"/>
      <c r="F834" s="24"/>
      <c r="G834" s="24"/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</row>
    <row r="835" spans="1:26" ht="15.75" customHeight="1">
      <c r="A835" s="24"/>
      <c r="B835" s="24"/>
      <c r="C835" s="24"/>
      <c r="D835" s="24"/>
      <c r="E835" s="24"/>
      <c r="F835" s="24"/>
      <c r="G835" s="24"/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</row>
    <row r="836" spans="1:26" ht="15.75" customHeight="1">
      <c r="A836" s="24"/>
      <c r="B836" s="24"/>
      <c r="C836" s="24"/>
      <c r="D836" s="24"/>
      <c r="E836" s="24"/>
      <c r="F836" s="24"/>
      <c r="G836" s="24"/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</row>
    <row r="837" spans="1:26" ht="15.75" customHeight="1">
      <c r="A837" s="24"/>
      <c r="B837" s="24"/>
      <c r="C837" s="24"/>
      <c r="D837" s="24"/>
      <c r="E837" s="24"/>
      <c r="F837" s="24"/>
      <c r="G837" s="24"/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</row>
    <row r="838" spans="1:26" ht="15.75" customHeight="1">
      <c r="A838" s="24"/>
      <c r="B838" s="24"/>
      <c r="C838" s="24"/>
      <c r="D838" s="24"/>
      <c r="E838" s="24"/>
      <c r="F838" s="24"/>
      <c r="G838" s="24"/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</row>
    <row r="839" spans="1:26" ht="15.75" customHeight="1">
      <c r="A839" s="24"/>
      <c r="B839" s="24"/>
      <c r="C839" s="24"/>
      <c r="D839" s="24"/>
      <c r="E839" s="24"/>
      <c r="F839" s="24"/>
      <c r="G839" s="24"/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</row>
    <row r="840" spans="1:26" ht="15.75" customHeight="1">
      <c r="A840" s="24"/>
      <c r="B840" s="24"/>
      <c r="C840" s="24"/>
      <c r="D840" s="24"/>
      <c r="E840" s="24"/>
      <c r="F840" s="24"/>
      <c r="G840" s="24"/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</row>
    <row r="841" spans="1:26" ht="15.75" customHeight="1">
      <c r="A841" s="24"/>
      <c r="B841" s="24"/>
      <c r="C841" s="24"/>
      <c r="D841" s="24"/>
      <c r="E841" s="24"/>
      <c r="F841" s="24"/>
      <c r="G841" s="24"/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</row>
    <row r="842" spans="1:26" ht="15.75" customHeight="1">
      <c r="A842" s="24"/>
      <c r="B842" s="24"/>
      <c r="C842" s="24"/>
      <c r="D842" s="24"/>
      <c r="E842" s="24"/>
      <c r="F842" s="24"/>
      <c r="G842" s="24"/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</row>
    <row r="843" spans="1:26" ht="15.75" customHeight="1">
      <c r="A843" s="24"/>
      <c r="B843" s="24"/>
      <c r="C843" s="24"/>
      <c r="D843" s="24"/>
      <c r="E843" s="24"/>
      <c r="F843" s="24"/>
      <c r="G843" s="24"/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</row>
    <row r="844" spans="1:26" ht="15.75" customHeight="1">
      <c r="A844" s="24"/>
      <c r="B844" s="24"/>
      <c r="C844" s="24"/>
      <c r="D844" s="24"/>
      <c r="E844" s="24"/>
      <c r="F844" s="24"/>
      <c r="G844" s="24"/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</row>
    <row r="845" spans="1:26" ht="15.75" customHeight="1">
      <c r="A845" s="24"/>
      <c r="B845" s="24"/>
      <c r="C845" s="24"/>
      <c r="D845" s="24"/>
      <c r="E845" s="24"/>
      <c r="F845" s="24"/>
      <c r="G845" s="24"/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</row>
    <row r="846" spans="1:26" ht="15.75" customHeight="1">
      <c r="A846" s="24"/>
      <c r="B846" s="24"/>
      <c r="C846" s="24"/>
      <c r="D846" s="24"/>
      <c r="E846" s="24"/>
      <c r="F846" s="24"/>
      <c r="G846" s="24"/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</row>
    <row r="847" spans="1:26" ht="15.75" customHeight="1">
      <c r="A847" s="24"/>
      <c r="B847" s="24"/>
      <c r="C847" s="24"/>
      <c r="D847" s="24"/>
      <c r="E847" s="24"/>
      <c r="F847" s="24"/>
      <c r="G847" s="24"/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</row>
    <row r="848" spans="1:26" ht="15.75" customHeight="1">
      <c r="A848" s="24"/>
      <c r="B848" s="24"/>
      <c r="C848" s="24"/>
      <c r="D848" s="24"/>
      <c r="E848" s="24"/>
      <c r="F848" s="24"/>
      <c r="G848" s="24"/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</row>
    <row r="849" spans="1:26" ht="15.75" customHeight="1">
      <c r="A849" s="24"/>
      <c r="B849" s="24"/>
      <c r="C849" s="24"/>
      <c r="D849" s="24"/>
      <c r="E849" s="24"/>
      <c r="F849" s="24"/>
      <c r="G849" s="24"/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</row>
    <row r="850" spans="1:26" ht="15.75" customHeight="1">
      <c r="A850" s="24"/>
      <c r="B850" s="24"/>
      <c r="C850" s="24"/>
      <c r="D850" s="24"/>
      <c r="E850" s="24"/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</row>
    <row r="851" spans="1:26" ht="15.75" customHeight="1">
      <c r="A851" s="24"/>
      <c r="B851" s="24"/>
      <c r="C851" s="24"/>
      <c r="D851" s="24"/>
      <c r="E851" s="24"/>
      <c r="F851" s="24"/>
      <c r="G851" s="24"/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</row>
    <row r="852" spans="1:26" ht="15.75" customHeight="1">
      <c r="A852" s="24"/>
      <c r="B852" s="24"/>
      <c r="C852" s="24"/>
      <c r="D852" s="24"/>
      <c r="E852" s="24"/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</row>
    <row r="853" spans="1:26" ht="15.75" customHeight="1">
      <c r="A853" s="24"/>
      <c r="B853" s="24"/>
      <c r="C853" s="24"/>
      <c r="D853" s="24"/>
      <c r="E853" s="24"/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</row>
    <row r="854" spans="1:26" ht="15.75" customHeight="1">
      <c r="A854" s="24"/>
      <c r="B854" s="24"/>
      <c r="C854" s="24"/>
      <c r="D854" s="24"/>
      <c r="E854" s="24"/>
      <c r="F854" s="24"/>
      <c r="G854" s="24"/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</row>
    <row r="855" spans="1:26" ht="15.75" customHeight="1">
      <c r="A855" s="24"/>
      <c r="B855" s="24"/>
      <c r="C855" s="24"/>
      <c r="D855" s="24"/>
      <c r="E855" s="24"/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</row>
    <row r="856" spans="1:26" ht="15.75" customHeight="1">
      <c r="A856" s="24"/>
      <c r="B856" s="24"/>
      <c r="C856" s="24"/>
      <c r="D856" s="24"/>
      <c r="E856" s="24"/>
      <c r="F856" s="24"/>
      <c r="G856" s="24"/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</row>
    <row r="857" spans="1:26" ht="15.75" customHeight="1">
      <c r="A857" s="24"/>
      <c r="B857" s="24"/>
      <c r="C857" s="24"/>
      <c r="D857" s="24"/>
      <c r="E857" s="24"/>
      <c r="F857" s="24"/>
      <c r="G857" s="24"/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</row>
    <row r="858" spans="1:26" ht="15.75" customHeight="1">
      <c r="A858" s="24"/>
      <c r="B858" s="24"/>
      <c r="C858" s="24"/>
      <c r="D858" s="24"/>
      <c r="E858" s="24"/>
      <c r="F858" s="24"/>
      <c r="G858" s="24"/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</row>
    <row r="859" spans="1:26" ht="15.75" customHeight="1">
      <c r="A859" s="24"/>
      <c r="B859" s="24"/>
      <c r="C859" s="24"/>
      <c r="D859" s="24"/>
      <c r="E859" s="24"/>
      <c r="F859" s="24"/>
      <c r="G859" s="24"/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</row>
    <row r="860" spans="1:26" ht="15.75" customHeight="1">
      <c r="A860" s="24"/>
      <c r="B860" s="24"/>
      <c r="C860" s="24"/>
      <c r="D860" s="24"/>
      <c r="E860" s="24"/>
      <c r="F860" s="24"/>
      <c r="G860" s="24"/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</row>
    <row r="861" spans="1:26" ht="15.75" customHeight="1">
      <c r="A861" s="24"/>
      <c r="B861" s="24"/>
      <c r="C861" s="24"/>
      <c r="D861" s="24"/>
      <c r="E861" s="24"/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</row>
    <row r="862" spans="1:26" ht="15.75" customHeight="1">
      <c r="A862" s="24"/>
      <c r="B862" s="24"/>
      <c r="C862" s="24"/>
      <c r="D862" s="24"/>
      <c r="E862" s="24"/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</row>
    <row r="863" spans="1:26" ht="15.75" customHeight="1">
      <c r="A863" s="24"/>
      <c r="B863" s="24"/>
      <c r="C863" s="24"/>
      <c r="D863" s="24"/>
      <c r="E863" s="24"/>
      <c r="F863" s="24"/>
      <c r="G863" s="24"/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</row>
    <row r="864" spans="1:26" ht="15.75" customHeight="1">
      <c r="A864" s="24"/>
      <c r="B864" s="24"/>
      <c r="C864" s="24"/>
      <c r="D864" s="24"/>
      <c r="E864" s="24"/>
      <c r="F864" s="24"/>
      <c r="G864" s="24"/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</row>
    <row r="865" spans="1:26" ht="15.75" customHeight="1">
      <c r="A865" s="24"/>
      <c r="B865" s="24"/>
      <c r="C865" s="24"/>
      <c r="D865" s="24"/>
      <c r="E865" s="24"/>
      <c r="F865" s="24"/>
      <c r="G865" s="24"/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</row>
    <row r="866" spans="1:26" ht="15.75" customHeight="1">
      <c r="A866" s="24"/>
      <c r="B866" s="24"/>
      <c r="C866" s="24"/>
      <c r="D866" s="24"/>
      <c r="E866" s="24"/>
      <c r="F866" s="24"/>
      <c r="G866" s="24"/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</row>
    <row r="867" spans="1:26" ht="15.75" customHeight="1">
      <c r="A867" s="24"/>
      <c r="B867" s="24"/>
      <c r="C867" s="24"/>
      <c r="D867" s="24"/>
      <c r="E867" s="24"/>
      <c r="F867" s="24"/>
      <c r="G867" s="24"/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</row>
    <row r="868" spans="1:26" ht="15.75" customHeight="1">
      <c r="A868" s="24"/>
      <c r="B868" s="24"/>
      <c r="C868" s="24"/>
      <c r="D868" s="24"/>
      <c r="E868" s="24"/>
      <c r="F868" s="24"/>
      <c r="G868" s="24"/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</row>
    <row r="869" spans="1:26" ht="15.75" customHeight="1">
      <c r="A869" s="24"/>
      <c r="B869" s="24"/>
      <c r="C869" s="24"/>
      <c r="D869" s="24"/>
      <c r="E869" s="24"/>
      <c r="F869" s="24"/>
      <c r="G869" s="24"/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</row>
    <row r="870" spans="1:26" ht="15.75" customHeight="1">
      <c r="A870" s="24"/>
      <c r="B870" s="24"/>
      <c r="C870" s="24"/>
      <c r="D870" s="24"/>
      <c r="E870" s="24"/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</row>
    <row r="871" spans="1:26" ht="15.75" customHeight="1">
      <c r="A871" s="24"/>
      <c r="B871" s="24"/>
      <c r="C871" s="24"/>
      <c r="D871" s="24"/>
      <c r="E871" s="24"/>
      <c r="F871" s="24"/>
      <c r="G871" s="24"/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</row>
    <row r="872" spans="1:26" ht="15.75" customHeight="1">
      <c r="A872" s="24"/>
      <c r="B872" s="24"/>
      <c r="C872" s="24"/>
      <c r="D872" s="24"/>
      <c r="E872" s="24"/>
      <c r="F872" s="24"/>
      <c r="G872" s="24"/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</row>
    <row r="873" spans="1:26" ht="15.75" customHeight="1">
      <c r="A873" s="24"/>
      <c r="B873" s="24"/>
      <c r="C873" s="24"/>
      <c r="D873" s="24"/>
      <c r="E873" s="24"/>
      <c r="F873" s="24"/>
      <c r="G873" s="24"/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</row>
    <row r="874" spans="1:26" ht="15.75" customHeight="1">
      <c r="A874" s="24"/>
      <c r="B874" s="24"/>
      <c r="C874" s="24"/>
      <c r="D874" s="24"/>
      <c r="E874" s="24"/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</row>
    <row r="875" spans="1:26" ht="15.75" customHeight="1">
      <c r="A875" s="24"/>
      <c r="B875" s="24"/>
      <c r="C875" s="24"/>
      <c r="D875" s="24"/>
      <c r="E875" s="24"/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</row>
    <row r="876" spans="1:26" ht="15.75" customHeight="1">
      <c r="A876" s="24"/>
      <c r="B876" s="24"/>
      <c r="C876" s="24"/>
      <c r="D876" s="24"/>
      <c r="E876" s="24"/>
      <c r="F876" s="24"/>
      <c r="G876" s="24"/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</row>
    <row r="877" spans="1:26" ht="15.75" customHeight="1">
      <c r="A877" s="24"/>
      <c r="B877" s="24"/>
      <c r="C877" s="24"/>
      <c r="D877" s="24"/>
      <c r="E877" s="24"/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</row>
    <row r="878" spans="1:26" ht="15.75" customHeight="1">
      <c r="A878" s="24"/>
      <c r="B878" s="24"/>
      <c r="C878" s="24"/>
      <c r="D878" s="24"/>
      <c r="E878" s="24"/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</row>
    <row r="879" spans="1:26" ht="15.75" customHeight="1">
      <c r="A879" s="24"/>
      <c r="B879" s="24"/>
      <c r="C879" s="24"/>
      <c r="D879" s="24"/>
      <c r="E879" s="24"/>
      <c r="F879" s="24"/>
      <c r="G879" s="24"/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</row>
    <row r="880" spans="1:26" ht="15.75" customHeight="1">
      <c r="A880" s="24"/>
      <c r="B880" s="24"/>
      <c r="C880" s="24"/>
      <c r="D880" s="24"/>
      <c r="E880" s="24"/>
      <c r="F880" s="24"/>
      <c r="G880" s="24"/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</row>
    <row r="881" spans="1:26" ht="15.75" customHeight="1">
      <c r="A881" s="24"/>
      <c r="B881" s="24"/>
      <c r="C881" s="24"/>
      <c r="D881" s="24"/>
      <c r="E881" s="24"/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</row>
    <row r="882" spans="1:26" ht="15.75" customHeight="1">
      <c r="A882" s="24"/>
      <c r="B882" s="24"/>
      <c r="C882" s="24"/>
      <c r="D882" s="24"/>
      <c r="E882" s="24"/>
      <c r="F882" s="24"/>
      <c r="G882" s="24"/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</row>
    <row r="883" spans="1:26" ht="15.75" customHeight="1">
      <c r="A883" s="24"/>
      <c r="B883" s="24"/>
      <c r="C883" s="24"/>
      <c r="D883" s="24"/>
      <c r="E883" s="24"/>
      <c r="F883" s="24"/>
      <c r="G883" s="24"/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</row>
    <row r="884" spans="1:26" ht="15.75" customHeight="1">
      <c r="A884" s="24"/>
      <c r="B884" s="24"/>
      <c r="C884" s="24"/>
      <c r="D884" s="24"/>
      <c r="E884" s="24"/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</row>
    <row r="885" spans="1:26" ht="15.75" customHeight="1">
      <c r="A885" s="24"/>
      <c r="B885" s="24"/>
      <c r="C885" s="24"/>
      <c r="D885" s="24"/>
      <c r="E885" s="24"/>
      <c r="F885" s="24"/>
      <c r="G885" s="24"/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</row>
    <row r="886" spans="1:26" ht="15.75" customHeight="1">
      <c r="A886" s="24"/>
      <c r="B886" s="24"/>
      <c r="C886" s="24"/>
      <c r="D886" s="24"/>
      <c r="E886" s="24"/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</row>
    <row r="887" spans="1:26" ht="15.75" customHeight="1">
      <c r="A887" s="24"/>
      <c r="B887" s="24"/>
      <c r="C887" s="24"/>
      <c r="D887" s="24"/>
      <c r="E887" s="24"/>
      <c r="F887" s="24"/>
      <c r="G887" s="24"/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</row>
    <row r="888" spans="1:26" ht="15.75" customHeight="1">
      <c r="A888" s="24"/>
      <c r="B888" s="24"/>
      <c r="C888" s="24"/>
      <c r="D888" s="24"/>
      <c r="E888" s="24"/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</row>
    <row r="889" spans="1:26" ht="15.75" customHeight="1">
      <c r="A889" s="24"/>
      <c r="B889" s="24"/>
      <c r="C889" s="24"/>
      <c r="D889" s="24"/>
      <c r="E889" s="24"/>
      <c r="F889" s="24"/>
      <c r="G889" s="24"/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</row>
    <row r="890" spans="1:26" ht="15.75" customHeight="1">
      <c r="A890" s="24"/>
      <c r="B890" s="24"/>
      <c r="C890" s="24"/>
      <c r="D890" s="24"/>
      <c r="E890" s="24"/>
      <c r="F890" s="24"/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</row>
    <row r="891" spans="1:26" ht="15.75" customHeight="1">
      <c r="A891" s="24"/>
      <c r="B891" s="24"/>
      <c r="C891" s="24"/>
      <c r="D891" s="24"/>
      <c r="E891" s="24"/>
      <c r="F891" s="24"/>
      <c r="G891" s="24"/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</row>
    <row r="892" spans="1:26" ht="15.75" customHeight="1">
      <c r="A892" s="24"/>
      <c r="B892" s="24"/>
      <c r="C892" s="24"/>
      <c r="D892" s="24"/>
      <c r="E892" s="24"/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</row>
    <row r="893" spans="1:26" ht="15.75" customHeight="1">
      <c r="A893" s="24"/>
      <c r="B893" s="24"/>
      <c r="C893" s="24"/>
      <c r="D893" s="24"/>
      <c r="E893" s="24"/>
      <c r="F893" s="24"/>
      <c r="G893" s="24"/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</row>
    <row r="894" spans="1:26" ht="15.75" customHeight="1">
      <c r="A894" s="24"/>
      <c r="B894" s="24"/>
      <c r="C894" s="24"/>
      <c r="D894" s="24"/>
      <c r="E894" s="24"/>
      <c r="F894" s="24"/>
      <c r="G894" s="24"/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</row>
    <row r="895" spans="1:26" ht="15.75" customHeight="1">
      <c r="A895" s="24"/>
      <c r="B895" s="24"/>
      <c r="C895" s="24"/>
      <c r="D895" s="24"/>
      <c r="E895" s="24"/>
      <c r="F895" s="24"/>
      <c r="G895" s="24"/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</row>
    <row r="896" spans="1:26" ht="15.75" customHeight="1">
      <c r="A896" s="24"/>
      <c r="B896" s="24"/>
      <c r="C896" s="24"/>
      <c r="D896" s="24"/>
      <c r="E896" s="24"/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</row>
    <row r="897" spans="1:26" ht="15.75" customHeight="1">
      <c r="A897" s="24"/>
      <c r="B897" s="24"/>
      <c r="C897" s="24"/>
      <c r="D897" s="24"/>
      <c r="E897" s="24"/>
      <c r="F897" s="24"/>
      <c r="G897" s="24"/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</row>
    <row r="898" spans="1:26" ht="15.75" customHeight="1">
      <c r="A898" s="24"/>
      <c r="B898" s="24"/>
      <c r="C898" s="24"/>
      <c r="D898" s="24"/>
      <c r="E898" s="24"/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</row>
    <row r="899" spans="1:26" ht="15.75" customHeight="1">
      <c r="A899" s="24"/>
      <c r="B899" s="24"/>
      <c r="C899" s="24"/>
      <c r="D899" s="24"/>
      <c r="E899" s="24"/>
      <c r="F899" s="24"/>
      <c r="G899" s="24"/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</row>
    <row r="900" spans="1:26" ht="15.75" customHeight="1">
      <c r="A900" s="24"/>
      <c r="B900" s="24"/>
      <c r="C900" s="24"/>
      <c r="D900" s="24"/>
      <c r="E900" s="24"/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</row>
    <row r="901" spans="1:26" ht="15.75" customHeight="1">
      <c r="A901" s="24"/>
      <c r="B901" s="24"/>
      <c r="C901" s="24"/>
      <c r="D901" s="24"/>
      <c r="E901" s="24"/>
      <c r="F901" s="24"/>
      <c r="G901" s="24"/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</row>
    <row r="902" spans="1:26" ht="15.75" customHeight="1">
      <c r="A902" s="24"/>
      <c r="B902" s="24"/>
      <c r="C902" s="24"/>
      <c r="D902" s="24"/>
      <c r="E902" s="24"/>
      <c r="F902" s="24"/>
      <c r="G902" s="24"/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</row>
    <row r="903" spans="1:26" ht="15.75" customHeight="1">
      <c r="A903" s="24"/>
      <c r="B903" s="24"/>
      <c r="C903" s="24"/>
      <c r="D903" s="24"/>
      <c r="E903" s="24"/>
      <c r="F903" s="24"/>
      <c r="G903" s="24"/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</row>
    <row r="904" spans="1:26" ht="15.75" customHeight="1">
      <c r="A904" s="24"/>
      <c r="B904" s="24"/>
      <c r="C904" s="24"/>
      <c r="D904" s="24"/>
      <c r="E904" s="24"/>
      <c r="F904" s="24"/>
      <c r="G904" s="24"/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</row>
    <row r="905" spans="1:26" ht="15.75" customHeight="1">
      <c r="A905" s="24"/>
      <c r="B905" s="24"/>
      <c r="C905" s="24"/>
      <c r="D905" s="24"/>
      <c r="E905" s="24"/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</row>
    <row r="906" spans="1:26" ht="15.75" customHeight="1">
      <c r="A906" s="24"/>
      <c r="B906" s="24"/>
      <c r="C906" s="24"/>
      <c r="D906" s="24"/>
      <c r="E906" s="24"/>
      <c r="F906" s="24"/>
      <c r="G906" s="24"/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</row>
    <row r="907" spans="1:26" ht="15.75" customHeight="1">
      <c r="A907" s="24"/>
      <c r="B907" s="24"/>
      <c r="C907" s="24"/>
      <c r="D907" s="24"/>
      <c r="E907" s="24"/>
      <c r="F907" s="24"/>
      <c r="G907" s="24"/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</row>
    <row r="908" spans="1:26" ht="15.75" customHeight="1">
      <c r="A908" s="24"/>
      <c r="B908" s="24"/>
      <c r="C908" s="24"/>
      <c r="D908" s="24"/>
      <c r="E908" s="24"/>
      <c r="F908" s="24"/>
      <c r="G908" s="24"/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</row>
    <row r="909" spans="1:26" ht="15.75" customHeight="1">
      <c r="A909" s="24"/>
      <c r="B909" s="24"/>
      <c r="C909" s="24"/>
      <c r="D909" s="24"/>
      <c r="E909" s="24"/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</row>
    <row r="910" spans="1:26" ht="15.75" customHeight="1">
      <c r="A910" s="24"/>
      <c r="B910" s="24"/>
      <c r="C910" s="24"/>
      <c r="D910" s="24"/>
      <c r="E910" s="24"/>
      <c r="F910" s="24"/>
      <c r="G910" s="24"/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</row>
    <row r="911" spans="1:26" ht="15.75" customHeight="1">
      <c r="A911" s="24"/>
      <c r="B911" s="24"/>
      <c r="C911" s="24"/>
      <c r="D911" s="24"/>
      <c r="E911" s="24"/>
      <c r="F911" s="24"/>
      <c r="G911" s="24"/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</row>
    <row r="912" spans="1:26" ht="15.75" customHeight="1">
      <c r="A912" s="24"/>
      <c r="B912" s="24"/>
      <c r="C912" s="24"/>
      <c r="D912" s="24"/>
      <c r="E912" s="24"/>
      <c r="F912" s="24"/>
      <c r="G912" s="24"/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</row>
    <row r="913" spans="1:26" ht="15.75" customHeight="1">
      <c r="A913" s="24"/>
      <c r="B913" s="24"/>
      <c r="C913" s="24"/>
      <c r="D913" s="24"/>
      <c r="E913" s="24"/>
      <c r="F913" s="24"/>
      <c r="G913" s="24"/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</row>
    <row r="914" spans="1:26" ht="15.75" customHeight="1">
      <c r="A914" s="24"/>
      <c r="B914" s="24"/>
      <c r="C914" s="24"/>
      <c r="D914" s="24"/>
      <c r="E914" s="24"/>
      <c r="F914" s="24"/>
      <c r="G914" s="24"/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</row>
    <row r="915" spans="1:26" ht="15.75" customHeight="1">
      <c r="A915" s="24"/>
      <c r="B915" s="24"/>
      <c r="C915" s="24"/>
      <c r="D915" s="24"/>
      <c r="E915" s="24"/>
      <c r="F915" s="24"/>
      <c r="G915" s="24"/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</row>
    <row r="916" spans="1:26" ht="15.75" customHeight="1">
      <c r="A916" s="24"/>
      <c r="B916" s="24"/>
      <c r="C916" s="24"/>
      <c r="D916" s="24"/>
      <c r="E916" s="24"/>
      <c r="F916" s="24"/>
      <c r="G916" s="24"/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</row>
    <row r="917" spans="1:26" ht="15.75" customHeight="1">
      <c r="A917" s="24"/>
      <c r="B917" s="24"/>
      <c r="C917" s="24"/>
      <c r="D917" s="24"/>
      <c r="E917" s="24"/>
      <c r="F917" s="24"/>
      <c r="G917" s="24"/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</row>
    <row r="918" spans="1:26" ht="15.75" customHeight="1">
      <c r="A918" s="24"/>
      <c r="B918" s="24"/>
      <c r="C918" s="24"/>
      <c r="D918" s="24"/>
      <c r="E918" s="24"/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</row>
    <row r="919" spans="1:26" ht="15.75" customHeight="1">
      <c r="A919" s="24"/>
      <c r="B919" s="24"/>
      <c r="C919" s="24"/>
      <c r="D919" s="24"/>
      <c r="E919" s="24"/>
      <c r="F919" s="24"/>
      <c r="G919" s="24"/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</row>
    <row r="920" spans="1:26" ht="15.75" customHeight="1">
      <c r="A920" s="24"/>
      <c r="B920" s="24"/>
      <c r="C920" s="24"/>
      <c r="D920" s="24"/>
      <c r="E920" s="24"/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</row>
    <row r="921" spans="1:26" ht="15.75" customHeight="1">
      <c r="A921" s="24"/>
      <c r="B921" s="24"/>
      <c r="C921" s="24"/>
      <c r="D921" s="24"/>
      <c r="E921" s="24"/>
      <c r="F921" s="24"/>
      <c r="G921" s="24"/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</row>
    <row r="922" spans="1:26" ht="15.75" customHeight="1">
      <c r="A922" s="24"/>
      <c r="B922" s="24"/>
      <c r="C922" s="24"/>
      <c r="D922" s="24"/>
      <c r="E922" s="24"/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</row>
    <row r="923" spans="1:26" ht="15.75" customHeight="1">
      <c r="A923" s="24"/>
      <c r="B923" s="24"/>
      <c r="C923" s="24"/>
      <c r="D923" s="24"/>
      <c r="E923" s="24"/>
      <c r="F923" s="24"/>
      <c r="G923" s="24"/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</row>
    <row r="924" spans="1:26" ht="15.75" customHeight="1">
      <c r="A924" s="24"/>
      <c r="B924" s="24"/>
      <c r="C924" s="24"/>
      <c r="D924" s="24"/>
      <c r="E924" s="24"/>
      <c r="F924" s="24"/>
      <c r="G924" s="24"/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</row>
    <row r="925" spans="1:26" ht="15.75" customHeight="1">
      <c r="A925" s="24"/>
      <c r="B925" s="24"/>
      <c r="C925" s="24"/>
      <c r="D925" s="24"/>
      <c r="E925" s="24"/>
      <c r="F925" s="24"/>
      <c r="G925" s="24"/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</row>
    <row r="926" spans="1:26" ht="15.75" customHeight="1">
      <c r="A926" s="24"/>
      <c r="B926" s="24"/>
      <c r="C926" s="24"/>
      <c r="D926" s="24"/>
      <c r="E926" s="24"/>
      <c r="F926" s="24"/>
      <c r="G926" s="24"/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</row>
    <row r="927" spans="1:26" ht="15.75" customHeight="1">
      <c r="A927" s="24"/>
      <c r="B927" s="24"/>
      <c r="C927" s="24"/>
      <c r="D927" s="24"/>
      <c r="E927" s="24"/>
      <c r="F927" s="24"/>
      <c r="G927" s="24"/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</row>
    <row r="928" spans="1:26" ht="15.75" customHeight="1">
      <c r="A928" s="24"/>
      <c r="B928" s="24"/>
      <c r="C928" s="24"/>
      <c r="D928" s="24"/>
      <c r="E928" s="24"/>
      <c r="F928" s="24"/>
      <c r="G928" s="24"/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</row>
    <row r="929" spans="1:26" ht="15.75" customHeight="1">
      <c r="A929" s="24"/>
      <c r="B929" s="24"/>
      <c r="C929" s="24"/>
      <c r="D929" s="24"/>
      <c r="E929" s="24"/>
      <c r="F929" s="24"/>
      <c r="G929" s="24"/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</row>
    <row r="930" spans="1:26" ht="15.75" customHeight="1">
      <c r="A930" s="24"/>
      <c r="B930" s="24"/>
      <c r="C930" s="24"/>
      <c r="D930" s="24"/>
      <c r="E930" s="24"/>
      <c r="F930" s="24"/>
      <c r="G930" s="24"/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</row>
    <row r="931" spans="1:26" ht="15.75" customHeight="1">
      <c r="A931" s="24"/>
      <c r="B931" s="24"/>
      <c r="C931" s="24"/>
      <c r="D931" s="24"/>
      <c r="E931" s="24"/>
      <c r="F931" s="24"/>
      <c r="G931" s="24"/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</row>
    <row r="932" spans="1:26" ht="15.75" customHeight="1">
      <c r="A932" s="24"/>
      <c r="B932" s="24"/>
      <c r="C932" s="24"/>
      <c r="D932" s="24"/>
      <c r="E932" s="24"/>
      <c r="F932" s="24"/>
      <c r="G932" s="24"/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</row>
    <row r="933" spans="1:26" ht="15.75" customHeight="1">
      <c r="A933" s="24"/>
      <c r="B933" s="24"/>
      <c r="C933" s="24"/>
      <c r="D933" s="24"/>
      <c r="E933" s="24"/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</row>
    <row r="934" spans="1:26" ht="15.75" customHeight="1">
      <c r="A934" s="24"/>
      <c r="B934" s="24"/>
      <c r="C934" s="24"/>
      <c r="D934" s="24"/>
      <c r="E934" s="24"/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</row>
    <row r="935" spans="1:26" ht="15.75" customHeight="1">
      <c r="A935" s="24"/>
      <c r="B935" s="24"/>
      <c r="C935" s="24"/>
      <c r="D935" s="24"/>
      <c r="E935" s="24"/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</row>
    <row r="936" spans="1:26" ht="15.75" customHeight="1">
      <c r="A936" s="24"/>
      <c r="B936" s="24"/>
      <c r="C936" s="24"/>
      <c r="D936" s="24"/>
      <c r="E936" s="24"/>
      <c r="F936" s="24"/>
      <c r="G936" s="24"/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</row>
    <row r="937" spans="1:26" ht="15.75" customHeight="1">
      <c r="A937" s="24"/>
      <c r="B937" s="24"/>
      <c r="C937" s="24"/>
      <c r="D937" s="24"/>
      <c r="E937" s="24"/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</row>
    <row r="938" spans="1:26" ht="15.75" customHeight="1">
      <c r="A938" s="24"/>
      <c r="B938" s="24"/>
      <c r="C938" s="24"/>
      <c r="D938" s="24"/>
      <c r="E938" s="24"/>
      <c r="F938" s="24"/>
      <c r="G938" s="24"/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</row>
    <row r="939" spans="1:26" ht="15.75" customHeight="1">
      <c r="A939" s="24"/>
      <c r="B939" s="24"/>
      <c r="C939" s="24"/>
      <c r="D939" s="24"/>
      <c r="E939" s="24"/>
      <c r="F939" s="24"/>
      <c r="G939" s="24"/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</row>
    <row r="940" spans="1:26" ht="15.75" customHeight="1">
      <c r="A940" s="24"/>
      <c r="B940" s="24"/>
      <c r="C940" s="24"/>
      <c r="D940" s="24"/>
      <c r="E940" s="24"/>
      <c r="F940" s="24"/>
      <c r="G940" s="24"/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</row>
    <row r="941" spans="1:26" ht="15.75" customHeight="1">
      <c r="A941" s="24"/>
      <c r="B941" s="24"/>
      <c r="C941" s="24"/>
      <c r="D941" s="24"/>
      <c r="E941" s="24"/>
      <c r="F941" s="24"/>
      <c r="G941" s="24"/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</row>
    <row r="942" spans="1:26" ht="15.75" customHeight="1">
      <c r="A942" s="24"/>
      <c r="B942" s="24"/>
      <c r="C942" s="24"/>
      <c r="D942" s="24"/>
      <c r="E942" s="24"/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</row>
    <row r="943" spans="1:26" ht="15.75" customHeight="1">
      <c r="A943" s="24"/>
      <c r="B943" s="24"/>
      <c r="C943" s="24"/>
      <c r="D943" s="24"/>
      <c r="E943" s="24"/>
      <c r="F943" s="24"/>
      <c r="G943" s="24"/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</row>
    <row r="944" spans="1:26" ht="15.75" customHeight="1">
      <c r="A944" s="24"/>
      <c r="B944" s="24"/>
      <c r="C944" s="24"/>
      <c r="D944" s="24"/>
      <c r="E944" s="24"/>
      <c r="F944" s="24"/>
      <c r="G944" s="24"/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</row>
    <row r="945" spans="1:26" ht="15.75" customHeight="1">
      <c r="A945" s="24"/>
      <c r="B945" s="24"/>
      <c r="C945" s="24"/>
      <c r="D945" s="24"/>
      <c r="E945" s="24"/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</row>
    <row r="946" spans="1:26" ht="15.75" customHeight="1">
      <c r="A946" s="24"/>
      <c r="B946" s="24"/>
      <c r="C946" s="24"/>
      <c r="D946" s="24"/>
      <c r="E946" s="24"/>
      <c r="F946" s="24"/>
      <c r="G946" s="24"/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</row>
    <row r="947" spans="1:26" ht="15.75" customHeight="1">
      <c r="A947" s="24"/>
      <c r="B947" s="24"/>
      <c r="C947" s="24"/>
      <c r="D947" s="24"/>
      <c r="E947" s="24"/>
      <c r="F947" s="24"/>
      <c r="G947" s="24"/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</row>
    <row r="948" spans="1:26" ht="15.75" customHeight="1">
      <c r="A948" s="24"/>
      <c r="B948" s="24"/>
      <c r="C948" s="24"/>
      <c r="D948" s="24"/>
      <c r="E948" s="24"/>
      <c r="F948" s="24"/>
      <c r="G948" s="24"/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</row>
    <row r="949" spans="1:26" ht="15.75" customHeight="1">
      <c r="A949" s="24"/>
      <c r="B949" s="24"/>
      <c r="C949" s="24"/>
      <c r="D949" s="24"/>
      <c r="E949" s="24"/>
      <c r="F949" s="24"/>
      <c r="G949" s="24"/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</row>
    <row r="950" spans="1:26" ht="15.75" customHeight="1">
      <c r="A950" s="24"/>
      <c r="B950" s="24"/>
      <c r="C950" s="24"/>
      <c r="D950" s="24"/>
      <c r="E950" s="24"/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</row>
    <row r="951" spans="1:26" ht="15.75" customHeight="1">
      <c r="A951" s="24"/>
      <c r="B951" s="24"/>
      <c r="C951" s="24"/>
      <c r="D951" s="24"/>
      <c r="E951" s="24"/>
      <c r="F951" s="24"/>
      <c r="G951" s="24"/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</row>
    <row r="952" spans="1:26" ht="15.75" customHeight="1">
      <c r="A952" s="24"/>
      <c r="B952" s="24"/>
      <c r="C952" s="24"/>
      <c r="D952" s="24"/>
      <c r="E952" s="24"/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</row>
    <row r="953" spans="1:26" ht="15.75" customHeight="1">
      <c r="A953" s="24"/>
      <c r="B953" s="24"/>
      <c r="C953" s="24"/>
      <c r="D953" s="24"/>
      <c r="E953" s="24"/>
      <c r="F953" s="24"/>
      <c r="G953" s="24"/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</row>
    <row r="954" spans="1:26" ht="15.75" customHeight="1">
      <c r="A954" s="24"/>
      <c r="B954" s="24"/>
      <c r="C954" s="24"/>
      <c r="D954" s="24"/>
      <c r="E954" s="24"/>
      <c r="F954" s="24"/>
      <c r="G954" s="24"/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</row>
    <row r="955" spans="1:26" ht="15.75" customHeight="1">
      <c r="A955" s="24"/>
      <c r="B955" s="24"/>
      <c r="C955" s="24"/>
      <c r="D955" s="24"/>
      <c r="E955" s="24"/>
      <c r="F955" s="24"/>
      <c r="G955" s="24"/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</row>
    <row r="956" spans="1:26" ht="15.75" customHeight="1">
      <c r="A956" s="24"/>
      <c r="B956" s="24"/>
      <c r="C956" s="24"/>
      <c r="D956" s="24"/>
      <c r="E956" s="24"/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</row>
    <row r="957" spans="1:26" ht="15.75" customHeight="1">
      <c r="A957" s="24"/>
      <c r="B957" s="24"/>
      <c r="C957" s="24"/>
      <c r="D957" s="24"/>
      <c r="E957" s="24"/>
      <c r="F957" s="24"/>
      <c r="G957" s="24"/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</row>
    <row r="958" spans="1:26" ht="15.75" customHeight="1">
      <c r="A958" s="24"/>
      <c r="B958" s="24"/>
      <c r="C958" s="24"/>
      <c r="D958" s="24"/>
      <c r="E958" s="24"/>
      <c r="F958" s="24"/>
      <c r="G958" s="24"/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</row>
    <row r="959" spans="1:26" ht="15.75" customHeight="1">
      <c r="A959" s="24"/>
      <c r="B959" s="24"/>
      <c r="C959" s="24"/>
      <c r="D959" s="24"/>
      <c r="E959" s="24"/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</row>
    <row r="960" spans="1:26" ht="15.75" customHeight="1">
      <c r="A960" s="24"/>
      <c r="B960" s="24"/>
      <c r="C960" s="24"/>
      <c r="D960" s="24"/>
      <c r="E960" s="24"/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</row>
    <row r="961" spans="1:26" ht="15.75" customHeight="1">
      <c r="A961" s="24"/>
      <c r="B961" s="24"/>
      <c r="C961" s="24"/>
      <c r="D961" s="24"/>
      <c r="E961" s="24"/>
      <c r="F961" s="24"/>
      <c r="G961" s="24"/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</row>
    <row r="962" spans="1:26" ht="15.75" customHeight="1">
      <c r="A962" s="24"/>
      <c r="B962" s="24"/>
      <c r="C962" s="24"/>
      <c r="D962" s="24"/>
      <c r="E962" s="24"/>
      <c r="F962" s="24"/>
      <c r="G962" s="24"/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</row>
    <row r="963" spans="1:26" ht="15.75" customHeight="1">
      <c r="A963" s="24"/>
      <c r="B963" s="24"/>
      <c r="C963" s="24"/>
      <c r="D963" s="24"/>
      <c r="E963" s="24"/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</row>
    <row r="964" spans="1:26" ht="15.75" customHeight="1">
      <c r="A964" s="24"/>
      <c r="B964" s="24"/>
      <c r="C964" s="24"/>
      <c r="D964" s="24"/>
      <c r="E964" s="24"/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</row>
    <row r="965" spans="1:26" ht="15.75" customHeight="1">
      <c r="A965" s="24"/>
      <c r="B965" s="24"/>
      <c r="C965" s="24"/>
      <c r="D965" s="24"/>
      <c r="E965" s="24"/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</row>
    <row r="966" spans="1:26" ht="15.75" customHeight="1">
      <c r="A966" s="24"/>
      <c r="B966" s="24"/>
      <c r="C966" s="24"/>
      <c r="D966" s="24"/>
      <c r="E966" s="24"/>
      <c r="F966" s="24"/>
      <c r="G966" s="24"/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</row>
    <row r="967" spans="1:26" ht="15.75" customHeight="1">
      <c r="A967" s="24"/>
      <c r="B967" s="24"/>
      <c r="C967" s="24"/>
      <c r="D967" s="24"/>
      <c r="E967" s="24"/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</row>
    <row r="968" spans="1:26" ht="15.75" customHeight="1">
      <c r="A968" s="24"/>
      <c r="B968" s="24"/>
      <c r="C968" s="24"/>
      <c r="D968" s="24"/>
      <c r="E968" s="24"/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</row>
    <row r="969" spans="1:26" ht="15.75" customHeight="1">
      <c r="A969" s="24"/>
      <c r="B969" s="24"/>
      <c r="C969" s="24"/>
      <c r="D969" s="24"/>
      <c r="E969" s="24"/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</row>
    <row r="970" spans="1:26" ht="15.75" customHeight="1">
      <c r="A970" s="24"/>
      <c r="B970" s="24"/>
      <c r="C970" s="24"/>
      <c r="D970" s="24"/>
      <c r="E970" s="24"/>
      <c r="F970" s="24"/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</row>
    <row r="971" spans="1:26" ht="15.75" customHeight="1">
      <c r="A971" s="24"/>
      <c r="B971" s="24"/>
      <c r="C971" s="24"/>
      <c r="D971" s="24"/>
      <c r="E971" s="24"/>
      <c r="F971" s="24"/>
      <c r="G971" s="24"/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</row>
    <row r="972" spans="1:26" ht="15.75" customHeight="1">
      <c r="A972" s="24"/>
      <c r="B972" s="24"/>
      <c r="C972" s="24"/>
      <c r="D972" s="24"/>
      <c r="E972" s="24"/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</row>
    <row r="973" spans="1:26" ht="15.75" customHeight="1">
      <c r="A973" s="24"/>
      <c r="B973" s="24"/>
      <c r="C973" s="24"/>
      <c r="D973" s="24"/>
      <c r="E973" s="24"/>
      <c r="F973" s="24"/>
      <c r="G973" s="24"/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</row>
    <row r="974" spans="1:26" ht="15.75" customHeight="1">
      <c r="A974" s="24"/>
      <c r="B974" s="24"/>
      <c r="C974" s="24"/>
      <c r="D974" s="24"/>
      <c r="E974" s="24"/>
      <c r="F974" s="24"/>
      <c r="G974" s="24"/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</row>
    <row r="975" spans="1:26" ht="15.75" customHeight="1">
      <c r="A975" s="24"/>
      <c r="B975" s="24"/>
      <c r="C975" s="24"/>
      <c r="D975" s="24"/>
      <c r="E975" s="24"/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</row>
    <row r="976" spans="1:26" ht="15.75" customHeight="1">
      <c r="A976" s="24"/>
      <c r="B976" s="24"/>
      <c r="C976" s="24"/>
      <c r="D976" s="24"/>
      <c r="E976" s="24"/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</row>
    <row r="977" spans="1:26" ht="15.75" customHeight="1">
      <c r="A977" s="24"/>
      <c r="B977" s="24"/>
      <c r="C977" s="24"/>
      <c r="D977" s="24"/>
      <c r="E977" s="24"/>
      <c r="F977" s="24"/>
      <c r="G977" s="24"/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</row>
    <row r="978" spans="1:26" ht="15.75" customHeight="1">
      <c r="A978" s="24"/>
      <c r="B978" s="24"/>
      <c r="C978" s="24"/>
      <c r="D978" s="24"/>
      <c r="E978" s="24"/>
      <c r="F978" s="24"/>
      <c r="G978" s="24"/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</row>
    <row r="979" spans="1:26" ht="15.75" customHeight="1">
      <c r="A979" s="24"/>
      <c r="B979" s="24"/>
      <c r="C979" s="24"/>
      <c r="D979" s="24"/>
      <c r="E979" s="24"/>
      <c r="F979" s="24"/>
      <c r="G979" s="24"/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</row>
    <row r="980" spans="1:26" ht="15.75" customHeight="1">
      <c r="A980" s="24"/>
      <c r="B980" s="24"/>
      <c r="C980" s="24"/>
      <c r="D980" s="24"/>
      <c r="E980" s="24"/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</row>
    <row r="981" spans="1:26" ht="15.75" customHeight="1">
      <c r="A981" s="24"/>
      <c r="B981" s="24"/>
      <c r="C981" s="24"/>
      <c r="D981" s="24"/>
      <c r="E981" s="24"/>
      <c r="F981" s="24"/>
      <c r="G981" s="24"/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</row>
    <row r="982" spans="1:26" ht="15.75" customHeight="1">
      <c r="A982" s="24"/>
      <c r="B982" s="24"/>
      <c r="C982" s="24"/>
      <c r="D982" s="24"/>
      <c r="E982" s="24"/>
      <c r="F982" s="24"/>
      <c r="G982" s="24"/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</row>
    <row r="983" spans="1:26" ht="15.75" customHeight="1">
      <c r="A983" s="24"/>
      <c r="B983" s="24"/>
      <c r="C983" s="24"/>
      <c r="D983" s="24"/>
      <c r="E983" s="24"/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</row>
    <row r="984" spans="1:26" ht="15.75" customHeight="1">
      <c r="A984" s="24"/>
      <c r="B984" s="24"/>
      <c r="C984" s="24"/>
      <c r="D984" s="24"/>
      <c r="E984" s="24"/>
      <c r="F984" s="24"/>
      <c r="G984" s="24"/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</row>
    <row r="985" spans="1:26" ht="15.75" customHeight="1">
      <c r="A985" s="24"/>
      <c r="B985" s="24"/>
      <c r="C985" s="24"/>
      <c r="D985" s="24"/>
      <c r="E985" s="24"/>
      <c r="F985" s="24"/>
      <c r="G985" s="24"/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</row>
    <row r="986" spans="1:26" ht="15.75" customHeight="1">
      <c r="A986" s="24"/>
      <c r="B986" s="24"/>
      <c r="C986" s="24"/>
      <c r="D986" s="24"/>
      <c r="E986" s="24"/>
      <c r="F986" s="24"/>
      <c r="G986" s="24"/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</row>
    <row r="987" spans="1:26" ht="15.75" customHeight="1">
      <c r="A987" s="24"/>
      <c r="B987" s="24"/>
      <c r="C987" s="24"/>
      <c r="D987" s="24"/>
      <c r="E987" s="24"/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</row>
    <row r="988" spans="1:26" ht="15.75" customHeight="1">
      <c r="A988" s="24"/>
      <c r="B988" s="24"/>
      <c r="C988" s="24"/>
      <c r="D988" s="24"/>
      <c r="E988" s="24"/>
      <c r="F988" s="24"/>
      <c r="G988" s="24"/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</row>
    <row r="989" spans="1:26" ht="15.75" customHeight="1">
      <c r="A989" s="24"/>
      <c r="B989" s="24"/>
      <c r="C989" s="24"/>
      <c r="D989" s="24"/>
      <c r="E989" s="24"/>
      <c r="F989" s="24"/>
      <c r="G989" s="24"/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</row>
    <row r="990" spans="1:26" ht="15.75" customHeight="1">
      <c r="A990" s="24"/>
      <c r="B990" s="24"/>
      <c r="C990" s="24"/>
      <c r="D990" s="24"/>
      <c r="E990" s="24"/>
      <c r="F990" s="24"/>
      <c r="G990" s="24"/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</row>
    <row r="991" spans="1:26" ht="15.75" customHeight="1">
      <c r="A991" s="24"/>
      <c r="B991" s="24"/>
      <c r="C991" s="24"/>
      <c r="D991" s="24"/>
      <c r="E991" s="24"/>
      <c r="F991" s="24"/>
      <c r="G991" s="24"/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</row>
    <row r="992" spans="1:26" ht="15.75" customHeight="1">
      <c r="A992" s="24"/>
      <c r="B992" s="24"/>
      <c r="C992" s="24"/>
      <c r="D992" s="24"/>
      <c r="E992" s="24"/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</row>
    <row r="993" spans="1:26" ht="15.75" customHeight="1">
      <c r="A993" s="24"/>
      <c r="B993" s="24"/>
      <c r="C993" s="24"/>
      <c r="D993" s="24"/>
      <c r="E993" s="24"/>
      <c r="F993" s="24"/>
      <c r="G993" s="24"/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</row>
    <row r="994" spans="1:26" ht="15.75" customHeight="1">
      <c r="A994" s="24"/>
      <c r="B994" s="24"/>
      <c r="C994" s="24"/>
      <c r="D994" s="24"/>
      <c r="E994" s="24"/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</row>
    <row r="995" spans="1:26" ht="15.75" customHeight="1">
      <c r="A995" s="24"/>
      <c r="B995" s="24"/>
      <c r="C995" s="24"/>
      <c r="D995" s="24"/>
      <c r="E995" s="24"/>
      <c r="F995" s="24"/>
      <c r="G995" s="24"/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</row>
    <row r="996" spans="1:26" ht="15.75" customHeight="1">
      <c r="A996" s="24"/>
      <c r="B996" s="24"/>
      <c r="C996" s="24"/>
      <c r="D996" s="24"/>
      <c r="E996" s="24"/>
      <c r="F996" s="24"/>
      <c r="G996" s="24"/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</row>
    <row r="997" spans="1:26" ht="15.75" customHeight="1">
      <c r="A997" s="24"/>
      <c r="B997" s="24"/>
      <c r="C997" s="24"/>
      <c r="D997" s="24"/>
      <c r="E997" s="24"/>
      <c r="F997" s="24"/>
      <c r="G997" s="24"/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</row>
    <row r="998" spans="1:26" ht="15.75" customHeight="1">
      <c r="A998" s="24"/>
      <c r="B998" s="24"/>
      <c r="C998" s="24"/>
      <c r="D998" s="24"/>
      <c r="E998" s="24"/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</row>
    <row r="999" spans="1:26" ht="15.75" customHeight="1">
      <c r="A999" s="24"/>
      <c r="B999" s="24"/>
      <c r="C999" s="24"/>
      <c r="D999" s="24"/>
      <c r="E999" s="24"/>
      <c r="F999" s="24"/>
      <c r="G999" s="24"/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</row>
    <row r="1000" spans="1:26" ht="15.75" customHeight="1">
      <c r="A1000" s="24"/>
      <c r="B1000" s="24"/>
      <c r="C1000" s="24"/>
      <c r="D1000" s="24"/>
      <c r="E1000" s="24"/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</row>
  </sheetData>
  <mergeCells count="170">
    <mergeCell ref="I22:I24"/>
    <mergeCell ref="J22:J24"/>
    <mergeCell ref="H25:H27"/>
    <mergeCell ref="I25:I27"/>
    <mergeCell ref="J25:J27"/>
    <mergeCell ref="I37:I39"/>
    <mergeCell ref="J37:J39"/>
    <mergeCell ref="H28:H30"/>
    <mergeCell ref="I28:I30"/>
    <mergeCell ref="J28:J30"/>
    <mergeCell ref="H34:H36"/>
    <mergeCell ref="I34:I36"/>
    <mergeCell ref="J34:J36"/>
    <mergeCell ref="H37:H39"/>
    <mergeCell ref="I31:I33"/>
    <mergeCell ref="J31:J33"/>
    <mergeCell ref="H31:H33"/>
    <mergeCell ref="H70:H72"/>
    <mergeCell ref="I70:I72"/>
    <mergeCell ref="J70:J72"/>
    <mergeCell ref="H58:H60"/>
    <mergeCell ref="I58:I60"/>
    <mergeCell ref="J58:J60"/>
    <mergeCell ref="H61:H63"/>
    <mergeCell ref="I61:I63"/>
    <mergeCell ref="J61:J63"/>
    <mergeCell ref="H64:H66"/>
    <mergeCell ref="I64:I66"/>
    <mergeCell ref="J64:J66"/>
    <mergeCell ref="H67:H69"/>
    <mergeCell ref="I67:I69"/>
    <mergeCell ref="J67:J69"/>
    <mergeCell ref="I46:I48"/>
    <mergeCell ref="J46:J48"/>
    <mergeCell ref="H40:H42"/>
    <mergeCell ref="I40:I42"/>
    <mergeCell ref="J40:J42"/>
    <mergeCell ref="H43:H45"/>
    <mergeCell ref="I43:I45"/>
    <mergeCell ref="J43:J45"/>
    <mergeCell ref="H46:H48"/>
    <mergeCell ref="I55:I57"/>
    <mergeCell ref="J55:J57"/>
    <mergeCell ref="H49:H51"/>
    <mergeCell ref="I49:I51"/>
    <mergeCell ref="J49:J51"/>
    <mergeCell ref="H52:H54"/>
    <mergeCell ref="I52:I54"/>
    <mergeCell ref="J52:J54"/>
    <mergeCell ref="H55:H57"/>
    <mergeCell ref="H19:H21"/>
    <mergeCell ref="H22:H24"/>
    <mergeCell ref="H16:H18"/>
    <mergeCell ref="F17:G17"/>
    <mergeCell ref="B19:B21"/>
    <mergeCell ref="C19:C21"/>
    <mergeCell ref="D19:D21"/>
    <mergeCell ref="E19:E21"/>
    <mergeCell ref="H13:H15"/>
    <mergeCell ref="F14:G14"/>
    <mergeCell ref="C16:C18"/>
    <mergeCell ref="D16:D18"/>
    <mergeCell ref="E16:E18"/>
    <mergeCell ref="E22:E24"/>
    <mergeCell ref="F23:G23"/>
    <mergeCell ref="E13:E15"/>
    <mergeCell ref="B13:B15"/>
    <mergeCell ref="C13:C15"/>
    <mergeCell ref="D13:D15"/>
    <mergeCell ref="F29:G29"/>
    <mergeCell ref="B16:B18"/>
    <mergeCell ref="F65:G65"/>
    <mergeCell ref="F68:G68"/>
    <mergeCell ref="F71:G71"/>
    <mergeCell ref="F38:G38"/>
    <mergeCell ref="F41:G41"/>
    <mergeCell ref="F44:G44"/>
    <mergeCell ref="F47:G47"/>
    <mergeCell ref="F50:G50"/>
    <mergeCell ref="F53:G53"/>
    <mergeCell ref="F56:G56"/>
    <mergeCell ref="B25:B27"/>
    <mergeCell ref="B28:B30"/>
    <mergeCell ref="B31:B33"/>
    <mergeCell ref="F32:G32"/>
    <mergeCell ref="F35:G35"/>
    <mergeCell ref="A34:A72"/>
    <mergeCell ref="B34:B42"/>
    <mergeCell ref="C34:C36"/>
    <mergeCell ref="C22:C24"/>
    <mergeCell ref="D22:D24"/>
    <mergeCell ref="C25:C27"/>
    <mergeCell ref="D25:D27"/>
    <mergeCell ref="E25:E27"/>
    <mergeCell ref="D28:D30"/>
    <mergeCell ref="E28:E30"/>
    <mergeCell ref="C37:C39"/>
    <mergeCell ref="C40:C42"/>
    <mergeCell ref="B43:B45"/>
    <mergeCell ref="C43:C45"/>
    <mergeCell ref="B46:B48"/>
    <mergeCell ref="C46:C48"/>
    <mergeCell ref="B49:B51"/>
    <mergeCell ref="C49:C51"/>
    <mergeCell ref="B52:B54"/>
    <mergeCell ref="C52:C54"/>
    <mergeCell ref="B55:B57"/>
    <mergeCell ref="C55:C57"/>
    <mergeCell ref="B22:B24"/>
    <mergeCell ref="A16:A33"/>
    <mergeCell ref="I13:I15"/>
    <mergeCell ref="J13:J15"/>
    <mergeCell ref="D34:D72"/>
    <mergeCell ref="E34:E72"/>
    <mergeCell ref="B58:B60"/>
    <mergeCell ref="C58:C60"/>
    <mergeCell ref="B61:B63"/>
    <mergeCell ref="C61:C63"/>
    <mergeCell ref="B64:B66"/>
    <mergeCell ref="C64:C66"/>
    <mergeCell ref="B67:B69"/>
    <mergeCell ref="C67:C69"/>
    <mergeCell ref="B70:B72"/>
    <mergeCell ref="C70:C72"/>
    <mergeCell ref="C28:C30"/>
    <mergeCell ref="C31:C33"/>
    <mergeCell ref="D31:D33"/>
    <mergeCell ref="E31:E33"/>
    <mergeCell ref="F59:G59"/>
    <mergeCell ref="F62:G62"/>
    <mergeCell ref="I19:I21"/>
    <mergeCell ref="J19:J21"/>
    <mergeCell ref="F20:G20"/>
    <mergeCell ref="F26:G26"/>
    <mergeCell ref="F6:G6"/>
    <mergeCell ref="A7:B7"/>
    <mergeCell ref="I7:J7"/>
    <mergeCell ref="I8:I9"/>
    <mergeCell ref="J8:J9"/>
    <mergeCell ref="I16:I18"/>
    <mergeCell ref="J16:J18"/>
    <mergeCell ref="C7:E7"/>
    <mergeCell ref="F7:H7"/>
    <mergeCell ref="A8:A9"/>
    <mergeCell ref="B8:B9"/>
    <mergeCell ref="C8:E8"/>
    <mergeCell ref="F8:G9"/>
    <mergeCell ref="H8:H9"/>
    <mergeCell ref="H10:H12"/>
    <mergeCell ref="F11:G11"/>
    <mergeCell ref="A10:A12"/>
    <mergeCell ref="B10:B12"/>
    <mergeCell ref="C10:C12"/>
    <mergeCell ref="D10:D12"/>
    <mergeCell ref="E10:E12"/>
    <mergeCell ref="I10:I12"/>
    <mergeCell ref="J10:J12"/>
    <mergeCell ref="A13:A15"/>
    <mergeCell ref="A1:B2"/>
    <mergeCell ref="C1:G2"/>
    <mergeCell ref="I1:J1"/>
    <mergeCell ref="I2:J2"/>
    <mergeCell ref="A3:F3"/>
    <mergeCell ref="H3:J3"/>
    <mergeCell ref="F4:G4"/>
    <mergeCell ref="B4:C4"/>
    <mergeCell ref="A5:B5"/>
    <mergeCell ref="C5:E5"/>
    <mergeCell ref="F5:G5"/>
    <mergeCell ref="H5:J5"/>
  </mergeCells>
  <conditionalFormatting sqref="F12">
    <cfRule type="cellIs" dxfId="215" priority="1" operator="lessThan">
      <formula>$F$16</formula>
    </cfRule>
    <cfRule type="cellIs" dxfId="214" priority="2" operator="greaterThanOrEqual">
      <formula>$F$16</formula>
    </cfRule>
  </conditionalFormatting>
  <conditionalFormatting sqref="F15">
    <cfRule type="cellIs" dxfId="213" priority="3" operator="lessThan">
      <formula>$F$19</formula>
    </cfRule>
    <cfRule type="cellIs" dxfId="212" priority="4" operator="greaterThanOrEqual">
      <formula>$F$19</formula>
    </cfRule>
  </conditionalFormatting>
  <conditionalFormatting sqref="F18">
    <cfRule type="cellIs" dxfId="211" priority="5" operator="lessThan">
      <formula>$F$19</formula>
    </cfRule>
    <cfRule type="cellIs" dxfId="210" priority="6" operator="greaterThanOrEqual">
      <formula>$F$19</formula>
    </cfRule>
  </conditionalFormatting>
  <conditionalFormatting sqref="F21">
    <cfRule type="cellIs" dxfId="209" priority="7" operator="lessThan">
      <formula>$F$19</formula>
    </cfRule>
    <cfRule type="cellIs" dxfId="208" priority="8" operator="greaterThanOrEqual">
      <formula>$F$19</formula>
    </cfRule>
  </conditionalFormatting>
  <conditionalFormatting sqref="F24">
    <cfRule type="cellIs" dxfId="207" priority="9" operator="lessThan">
      <formula>$F$19</formula>
    </cfRule>
    <cfRule type="cellIs" dxfId="206" priority="10" operator="greaterThanOrEqual">
      <formula>$F$19</formula>
    </cfRule>
  </conditionalFormatting>
  <conditionalFormatting sqref="F27">
    <cfRule type="cellIs" dxfId="205" priority="11" operator="lessThan">
      <formula>$F$19</formula>
    </cfRule>
    <cfRule type="cellIs" dxfId="204" priority="12" operator="greaterThanOrEqual">
      <formula>$F$19</formula>
    </cfRule>
  </conditionalFormatting>
  <conditionalFormatting sqref="F30">
    <cfRule type="cellIs" dxfId="203" priority="13" operator="lessThan">
      <formula>$F$19</formula>
    </cfRule>
    <cfRule type="cellIs" dxfId="202" priority="14" operator="greaterThanOrEqual">
      <formula>$F$19</formula>
    </cfRule>
  </conditionalFormatting>
  <conditionalFormatting sqref="F33">
    <cfRule type="cellIs" dxfId="201" priority="15" operator="lessThan">
      <formula>$F$19</formula>
    </cfRule>
    <cfRule type="cellIs" dxfId="200" priority="16" operator="greaterThanOrEqual">
      <formula>$F$19</formula>
    </cfRule>
  </conditionalFormatting>
  <conditionalFormatting sqref="F36">
    <cfRule type="cellIs" dxfId="199" priority="17" operator="lessThan">
      <formula>$F$19</formula>
    </cfRule>
    <cfRule type="cellIs" dxfId="198" priority="18" operator="greaterThanOrEqual">
      <formula>$F$19</formula>
    </cfRule>
  </conditionalFormatting>
  <conditionalFormatting sqref="F39">
    <cfRule type="cellIs" dxfId="197" priority="19" operator="lessThan">
      <formula>$F$19</formula>
    </cfRule>
    <cfRule type="cellIs" dxfId="196" priority="20" operator="greaterThanOrEqual">
      <formula>$F$19</formula>
    </cfRule>
  </conditionalFormatting>
  <conditionalFormatting sqref="F42">
    <cfRule type="cellIs" dxfId="195" priority="21" operator="lessThan">
      <formula>$F$19</formula>
    </cfRule>
    <cfRule type="cellIs" dxfId="194" priority="22" operator="greaterThanOrEqual">
      <formula>$F$19</formula>
    </cfRule>
  </conditionalFormatting>
  <conditionalFormatting sqref="F45">
    <cfRule type="cellIs" dxfId="193" priority="23" operator="lessThan">
      <formula>$F$19</formula>
    </cfRule>
    <cfRule type="cellIs" dxfId="192" priority="24" operator="greaterThanOrEqual">
      <formula>$F$19</formula>
    </cfRule>
  </conditionalFormatting>
  <conditionalFormatting sqref="F48">
    <cfRule type="cellIs" dxfId="191" priority="25" operator="lessThan">
      <formula>$F$19</formula>
    </cfRule>
    <cfRule type="cellIs" dxfId="190" priority="26" operator="greaterThanOrEqual">
      <formula>$F$19</formula>
    </cfRule>
  </conditionalFormatting>
  <conditionalFormatting sqref="F51">
    <cfRule type="cellIs" dxfId="189" priority="27" operator="lessThan">
      <formula>$F$19</formula>
    </cfRule>
    <cfRule type="cellIs" dxfId="188" priority="28" operator="greaterThanOrEqual">
      <formula>$F$19</formula>
    </cfRule>
  </conditionalFormatting>
  <conditionalFormatting sqref="F54">
    <cfRule type="cellIs" dxfId="187" priority="29" operator="lessThan">
      <formula>$F$19</formula>
    </cfRule>
    <cfRule type="cellIs" dxfId="186" priority="30" operator="greaterThanOrEqual">
      <formula>$F$19</formula>
    </cfRule>
  </conditionalFormatting>
  <conditionalFormatting sqref="F57">
    <cfRule type="cellIs" dxfId="185" priority="31" operator="lessThan">
      <formula>$F$19</formula>
    </cfRule>
    <cfRule type="cellIs" dxfId="184" priority="32" operator="greaterThanOrEqual">
      <formula>$F$19</formula>
    </cfRule>
  </conditionalFormatting>
  <conditionalFormatting sqref="F60">
    <cfRule type="cellIs" dxfId="183" priority="33" operator="lessThan">
      <formula>$F$19</formula>
    </cfRule>
    <cfRule type="cellIs" dxfId="182" priority="34" operator="greaterThanOrEqual">
      <formula>$F$19</formula>
    </cfRule>
  </conditionalFormatting>
  <conditionalFormatting sqref="F63">
    <cfRule type="cellIs" dxfId="181" priority="35" operator="lessThan">
      <formula>$F$19</formula>
    </cfRule>
    <cfRule type="cellIs" dxfId="180" priority="36" operator="greaterThanOrEqual">
      <formula>$F$19</formula>
    </cfRule>
  </conditionalFormatting>
  <conditionalFormatting sqref="F66">
    <cfRule type="cellIs" dxfId="179" priority="37" operator="lessThan">
      <formula>$F$19</formula>
    </cfRule>
    <cfRule type="cellIs" dxfId="178" priority="38" operator="greaterThanOrEqual">
      <formula>$F$19</formula>
    </cfRule>
  </conditionalFormatting>
  <conditionalFormatting sqref="F69">
    <cfRule type="cellIs" dxfId="177" priority="39" operator="lessThan">
      <formula>$F$19</formula>
    </cfRule>
    <cfRule type="cellIs" dxfId="176" priority="40" operator="greaterThanOrEqual">
      <formula>$F$19</formula>
    </cfRule>
  </conditionalFormatting>
  <conditionalFormatting sqref="F72">
    <cfRule type="cellIs" dxfId="175" priority="41" operator="lessThan">
      <formula>$F$19</formula>
    </cfRule>
    <cfRule type="cellIs" dxfId="174" priority="42" operator="greaterThanOrEqual">
      <formula>$F$19</formula>
    </cfRule>
  </conditionalFormatting>
  <conditionalFormatting sqref="J4">
    <cfRule type="cellIs" dxfId="173" priority="43" operator="lessThan">
      <formula>$H$4</formula>
    </cfRule>
    <cfRule type="cellIs" dxfId="172" priority="44" operator="greaterThan">
      <formula>$H$4</formula>
    </cfRule>
  </conditionalFormatting>
  <pageMargins left="0.7" right="0.7" top="0.75" bottom="0.75" header="0" footer="0"/>
  <pageSetup scale="25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</vt:i4>
      </vt:variant>
    </vt:vector>
  </HeadingPairs>
  <TitlesOfParts>
    <vt:vector size="21" baseType="lpstr">
      <vt:lpstr>PRESIDENCIA 26</vt:lpstr>
      <vt:lpstr>BD SINDICATURA</vt:lpstr>
      <vt:lpstr>BDPRE1</vt:lpstr>
      <vt:lpstr>SINDICATURA 26</vt:lpstr>
      <vt:lpstr>BD SECRETARIA1</vt:lpstr>
      <vt:lpstr>Hoja 2</vt:lpstr>
      <vt:lpstr>MIR TESORERIA</vt:lpstr>
      <vt:lpstr>MIR CATASTRO</vt:lpstr>
      <vt:lpstr>MIR SERVICIOS GENERALES</vt:lpstr>
      <vt:lpstr>MIR CONSTRUCCION DE LA COMUNIDA</vt:lpstr>
      <vt:lpstr>MIR SECRETARIA GENERAL 26</vt:lpstr>
      <vt:lpstr>PROTECCION CIVIL 26</vt:lpstr>
      <vt:lpstr>PROGRAMAS SOCIALES 26</vt:lpstr>
      <vt:lpstr>MIR GABINETE 26</vt:lpstr>
      <vt:lpstr>MIR UNIDAD MULTIFUNCIONAL </vt:lpstr>
      <vt:lpstr>MIR DESARROLLO ECONOMICO 26</vt:lpstr>
      <vt:lpstr>MIR ORGANO INTERNO DE CONTR 26</vt:lpstr>
      <vt:lpstr>Hoja2</vt:lpstr>
      <vt:lpstr>GASTO CORRIENTE</vt:lpstr>
      <vt:lpstr>'PROGRAMAS SOCIALES 26'!Área_de_impresión</vt:lpstr>
      <vt:lpstr>'PROTECCION CIVIL 26'!Área_de_impresión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Ing. jonathan de Leon Camarena</cp:lastModifiedBy>
  <cp:lastPrinted>2026-02-03T20:35:48Z</cp:lastPrinted>
  <dcterms:created xsi:type="dcterms:W3CDTF">2019-09-09T16:06:27Z</dcterms:created>
  <dcterms:modified xsi:type="dcterms:W3CDTF">2026-02-13T20:26:09Z</dcterms:modified>
</cp:coreProperties>
</file>